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vnozare.pri\vm\Redirect_profiles\gjermacane\Desktop\"/>
    </mc:Choice>
  </mc:AlternateContent>
  <xr:revisionPtr revIDLastSave="0" documentId="8_{E0BEC696-95C7-4A78-BB3D-BEC74981D11D}" xr6:coauthVersionLast="47" xr6:coauthVersionMax="47" xr10:uidLastSave="{00000000-0000-0000-0000-000000000000}"/>
  <bookViews>
    <workbookView xWindow="-110" yWindow="-110" windowWidth="19420" windowHeight="10420" tabRatio="958" xr2:uid="{00000000-000D-0000-FFFF-FFFF00000000}"/>
  </bookViews>
  <sheets>
    <sheet name="LNG_kopā" sheetId="1" r:id="rId1"/>
    <sheet name="D-Pils_2" sheetId="24" r:id="rId2"/>
    <sheet name="Balvi_2" sheetId="16" r:id="rId3"/>
    <sheet name="Jēkabp_2" sheetId="19" r:id="rId4"/>
    <sheet name="Jelgava_2" sheetId="15" r:id="rId5"/>
    <sheet name="Liepāja_2" sheetId="17" r:id="rId6"/>
    <sheet name="Rēz_2" sheetId="21" r:id="rId7"/>
    <sheet name="Vidz_2" sheetId="22" r:id="rId8"/>
    <sheet name="Z-Kurz_2" sheetId="23" r:id="rId9"/>
    <sheet name="Plansetes_2" sheetId="20" r:id="rId10"/>
  </sheets>
  <definedNames>
    <definedName name="_xlnm._FilterDatabase" localSheetId="3" hidden="1">Jēkabp_2!$B$7:$O$52</definedName>
    <definedName name="_xlnm.Print_Area" localSheetId="2">Balvi_2!$A$1:$N$26</definedName>
    <definedName name="_xlnm.Print_Area" localSheetId="3">Jēkabp_2!$A$1:$N$54</definedName>
    <definedName name="_xlnm.Print_Area" localSheetId="5">Liepāja_2!$A$1:$N$21</definedName>
    <definedName name="_xlnm.Print_Area" localSheetId="0">LNG_kopā!$A$1:$R$17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P16" i="1" l="1"/>
  <c r="P14" i="1"/>
  <c r="N14" i="1"/>
  <c r="R14" i="1"/>
  <c r="R13" i="1"/>
  <c r="R12" i="1"/>
  <c r="R7" i="1"/>
  <c r="J1" i="22"/>
  <c r="K2" i="22"/>
  <c r="J2" i="22"/>
  <c r="J3" i="22"/>
  <c r="J8" i="22"/>
  <c r="J3" i="19" l="1"/>
  <c r="J1" i="19"/>
  <c r="J8" i="19"/>
  <c r="J2" i="19"/>
  <c r="P8" i="1" l="1"/>
  <c r="O7" i="1"/>
  <c r="O8" i="1"/>
  <c r="L8" i="19" l="1"/>
  <c r="J8" i="17"/>
  <c r="G14" i="1"/>
  <c r="J8" i="23"/>
  <c r="J8" i="16"/>
  <c r="L8" i="23"/>
  <c r="Q12" i="1"/>
  <c r="I14" i="1"/>
  <c r="F14" i="1"/>
  <c r="H12" i="1" l="1"/>
  <c r="G12" i="1"/>
  <c r="F12" i="1"/>
  <c r="J7" i="21"/>
  <c r="L8" i="22"/>
  <c r="L8" i="17"/>
  <c r="L9" i="15"/>
  <c r="L8" i="15"/>
  <c r="L8" i="16"/>
  <c r="L8" i="24"/>
  <c r="L20" i="24"/>
  <c r="E12" i="1" l="1"/>
  <c r="N12" i="1" s="1"/>
  <c r="J15" i="1"/>
  <c r="I15" i="1"/>
  <c r="H15" i="1"/>
  <c r="G15" i="1"/>
  <c r="H30" i="20"/>
  <c r="M30" i="20"/>
  <c r="D7" i="1"/>
  <c r="Q8" i="1"/>
  <c r="I9" i="1"/>
  <c r="F8" i="24"/>
  <c r="J13" i="24"/>
  <c r="J9" i="1" s="1"/>
  <c r="E8" i="23"/>
  <c r="F8" i="23"/>
  <c r="J21" i="23"/>
  <c r="J23" i="23"/>
  <c r="J28" i="23"/>
  <c r="J29" i="23"/>
  <c r="J35" i="23"/>
  <c r="J36" i="23"/>
  <c r="J37" i="23"/>
  <c r="J40" i="23"/>
  <c r="M14" i="1"/>
  <c r="L14" i="1"/>
  <c r="E14" i="1" s="1"/>
  <c r="J8" i="24" l="1"/>
  <c r="E9" i="1"/>
  <c r="P9" i="1" s="1"/>
  <c r="R9" i="1" s="1"/>
  <c r="E15" i="1"/>
  <c r="P15" i="1" s="1"/>
  <c r="R15" i="1" s="1"/>
  <c r="F8" i="22" l="1"/>
  <c r="M13" i="1"/>
  <c r="L13" i="1"/>
  <c r="K13" i="1"/>
  <c r="J13" i="1"/>
  <c r="I13" i="1"/>
  <c r="H13" i="1"/>
  <c r="G13" i="1"/>
  <c r="E13" i="1" l="1"/>
  <c r="Q14" i="1"/>
  <c r="P13" i="1" l="1"/>
  <c r="F7" i="21"/>
  <c r="J15" i="17"/>
  <c r="F8" i="17"/>
  <c r="Q10" i="1"/>
  <c r="Q7" i="1" s="1"/>
  <c r="M10" i="1"/>
  <c r="J50" i="19"/>
  <c r="F8" i="19"/>
  <c r="O30" i="20"/>
  <c r="K16" i="1"/>
  <c r="L16" i="1"/>
  <c r="J16" i="1"/>
  <c r="D6" i="20"/>
  <c r="H6" i="20"/>
  <c r="D7" i="20"/>
  <c r="M7" i="20"/>
  <c r="C8" i="20"/>
  <c r="D8" i="20" s="1"/>
  <c r="D30" i="20" s="1"/>
  <c r="H8" i="20"/>
  <c r="D9" i="20"/>
  <c r="M9" i="20"/>
  <c r="D10" i="20"/>
  <c r="M10" i="20"/>
  <c r="D11" i="20"/>
  <c r="M11" i="20"/>
  <c r="D12" i="20"/>
  <c r="M12" i="20"/>
  <c r="D13" i="20"/>
  <c r="H13" i="20"/>
  <c r="D14" i="20"/>
  <c r="M14" i="20"/>
  <c r="D15" i="20"/>
  <c r="M15" i="20"/>
  <c r="D16" i="20"/>
  <c r="H16" i="20"/>
  <c r="D17" i="20"/>
  <c r="D18" i="20"/>
  <c r="D19" i="20"/>
  <c r="M19" i="20"/>
  <c r="D20" i="20"/>
  <c r="M20" i="20"/>
  <c r="D21" i="20"/>
  <c r="H21" i="20"/>
  <c r="D22" i="20"/>
  <c r="M22" i="20"/>
  <c r="D23" i="20"/>
  <c r="H23" i="20"/>
  <c r="D24" i="20"/>
  <c r="D25" i="20"/>
  <c r="H25" i="20"/>
  <c r="D26" i="20"/>
  <c r="H26" i="20"/>
  <c r="D27" i="20"/>
  <c r="M27" i="20"/>
  <c r="D28" i="20"/>
  <c r="M28" i="20"/>
  <c r="C29" i="20"/>
  <c r="D29" i="20"/>
  <c r="C30" i="20"/>
  <c r="G30" i="20"/>
  <c r="L30" i="20"/>
  <c r="M7" i="1" l="1"/>
  <c r="L10" i="1"/>
  <c r="L7" i="1" s="1"/>
  <c r="K10" i="1"/>
  <c r="K7" i="1" s="1"/>
  <c r="J10" i="1"/>
  <c r="J7" i="1" s="1"/>
  <c r="J13" i="19"/>
  <c r="J17" i="19"/>
  <c r="H10" i="1" s="1"/>
  <c r="J22" i="19"/>
  <c r="J29" i="19"/>
  <c r="J44" i="19"/>
  <c r="J49" i="19"/>
  <c r="F8" i="1"/>
  <c r="E8" i="1" s="1"/>
  <c r="R8" i="1" s="1"/>
  <c r="N8" i="1" l="1"/>
  <c r="F10" i="1"/>
  <c r="I10" i="1"/>
  <c r="G10" i="1"/>
  <c r="E10" i="1" l="1"/>
  <c r="P10" i="1" s="1"/>
  <c r="R10" i="1" s="1"/>
  <c r="N10" i="1" l="1"/>
  <c r="I11" i="1"/>
  <c r="D11" i="1"/>
  <c r="D8" i="1"/>
  <c r="D15" i="1"/>
  <c r="D12" i="1"/>
  <c r="D10" i="1"/>
  <c r="D14" i="1"/>
  <c r="F16" i="1"/>
  <c r="D16" i="1"/>
  <c r="F8" i="16"/>
  <c r="E16" i="1" l="1"/>
  <c r="F8" i="15"/>
  <c r="R16" i="1" l="1"/>
  <c r="N16" i="1"/>
  <c r="J9" i="15"/>
  <c r="H11" i="1"/>
  <c r="E11" i="1" s="1"/>
  <c r="P11" i="1" s="1"/>
  <c r="R11" i="1" s="1"/>
  <c r="P7" i="1" l="1"/>
  <c r="N13" i="1"/>
  <c r="N15" i="1"/>
  <c r="J8" i="15" l="1"/>
  <c r="F16" i="17" l="1"/>
  <c r="J16" i="17"/>
  <c r="J17" i="17"/>
  <c r="E7" i="1" l="1"/>
  <c r="G7" i="1" l="1"/>
  <c r="N9" i="1" l="1"/>
  <c r="F7" i="1"/>
  <c r="H7" i="1"/>
  <c r="I7" i="1"/>
  <c r="N11" i="1" l="1"/>
  <c r="N7" i="1" s="1"/>
</calcChain>
</file>

<file path=xl/sharedStrings.xml><?xml version="1.0" encoding="utf-8"?>
<sst xmlns="http://schemas.openxmlformats.org/spreadsheetml/2006/main" count="1603" uniqueCount="676">
  <si>
    <t>Summa</t>
  </si>
  <si>
    <t>Balvu un Gulbenes SA</t>
  </si>
  <si>
    <t>Daugavpils RS</t>
  </si>
  <si>
    <t>Jēkabpils RS</t>
  </si>
  <si>
    <t>Jelgavas PS</t>
  </si>
  <si>
    <t>Liepājas RS</t>
  </si>
  <si>
    <t>Rēzeknes S</t>
  </si>
  <si>
    <t>Vidzemes sl.</t>
  </si>
  <si>
    <t>Ziemeļkurzemes sl</t>
  </si>
  <si>
    <t>Nr.</t>
  </si>
  <si>
    <t>04.01.2021.</t>
  </si>
  <si>
    <t>19.01.2021.</t>
  </si>
  <si>
    <t>07.01.2021.</t>
  </si>
  <si>
    <t>NVD Līgums</t>
  </si>
  <si>
    <t>datums</t>
  </si>
  <si>
    <t>KOPĀ</t>
  </si>
  <si>
    <r>
      <t xml:space="preserve">Izlietojums  </t>
    </r>
    <r>
      <rPr>
        <sz val="11"/>
        <color theme="1"/>
        <rFont val="Calibri"/>
        <family val="2"/>
        <charset val="186"/>
        <scheme val="minor"/>
      </rPr>
      <t>(NVD akceptētais atbilstoši līgumā  noteiktajam sadalījumam)</t>
    </r>
  </si>
  <si>
    <t>SIA "Balvu un Gulbenes slimnīcu apvienība"</t>
  </si>
  <si>
    <t xml:space="preserve">Informācija par finanšu līdzekļu izlietojumu </t>
  </si>
  <si>
    <t>Grupa</t>
  </si>
  <si>
    <t>Medicīnas ierīce</t>
  </si>
  <si>
    <t>Skaits</t>
  </si>
  <si>
    <t>Plānotā summa (ar PVN), EUR</t>
  </si>
  <si>
    <r>
      <t xml:space="preserve">Maksājuma uzdevums </t>
    </r>
    <r>
      <rPr>
        <sz val="12"/>
        <color theme="1"/>
        <rFont val="Times New Roman"/>
        <family val="1"/>
        <charset val="186"/>
      </rPr>
      <t>(atbilstoši  Līguma 3.1.4.punktam)</t>
    </r>
  </si>
  <si>
    <t>Pavadzīmes  Nr.</t>
  </si>
  <si>
    <t>Datums</t>
  </si>
  <si>
    <t>Piegādātājs</t>
  </si>
  <si>
    <t>Summa ( ar PVN) EUR</t>
  </si>
  <si>
    <t>KOPĀ, t.sk.</t>
  </si>
  <si>
    <t>x</t>
  </si>
  <si>
    <t>Automātiskās virsmu
dezinfekcijas iekārtas</t>
  </si>
  <si>
    <t>Plazmas gaisa dezinfekcijas ierīce AernoviR Premium (sn 1081)</t>
  </si>
  <si>
    <t>SIA "Arbor Medical Korporācija"</t>
  </si>
  <si>
    <t>Plazmas gaisa dezinfekcijas ierīce AernoviR Premium (sn 1086)</t>
  </si>
  <si>
    <t>Plazmas gaisa dezinfekcijas ierīce AernoviR Basic Mobile (sn 001112)</t>
  </si>
  <si>
    <t>Baktericīdais recirkulators NEXA Prolux G30WA</t>
  </si>
  <si>
    <t>Baktericīdais recirkulators NEXA Prolux G M30WA ar statīvu</t>
  </si>
  <si>
    <t>Baktericīdais recirkulators NEXA Prolux G M110WA ar statīvu</t>
  </si>
  <si>
    <t>Glikometri</t>
  </si>
  <si>
    <t>Defibrilators</t>
  </si>
  <si>
    <t>Defibrilators/monitors DFM100</t>
  </si>
  <si>
    <t>ARB 104485</t>
  </si>
  <si>
    <t>08.12.2020.</t>
  </si>
  <si>
    <t>Elektrokardiogrāfs</t>
  </si>
  <si>
    <t>Elektrokardiogrāfs ar EKG analizatoru bez galda</t>
  </si>
  <si>
    <t>Ventilācijas ierīce</t>
  </si>
  <si>
    <t>Mākslīgās plaušu ventilācijas ierīce Philips V60 Plus Ventilator ar gaisa mitrinātāju Wilamed Airniva</t>
  </si>
  <si>
    <t>Monitori</t>
  </si>
  <si>
    <t>Pacientu vitālo funkciju monitors IntelliWue X3</t>
  </si>
  <si>
    <t>Perfuzori</t>
  </si>
  <si>
    <t>Perfuzori Alaris GH</t>
  </si>
  <si>
    <t>Sūkņi</t>
  </si>
  <si>
    <t>Vakumsūknis (ķirurģiskais) Askir 30</t>
  </si>
  <si>
    <t>SIA "Amrid"</t>
  </si>
  <si>
    <t>SIA "A.Medical"</t>
  </si>
  <si>
    <t>Infrastruktūras izveides ieguldījumi - 50% līdzfinansējums</t>
  </si>
  <si>
    <t>Papildus visām slimnīcām planšetes COVID-19 pacientiem, lai nodrošinātu saziņu ar saviem tuviniekiem</t>
  </si>
  <si>
    <t>FAN 2112</t>
  </si>
  <si>
    <t>15.12.2020.</t>
  </si>
  <si>
    <t>SIA "Fanza"</t>
  </si>
  <si>
    <t>Atlikums pret līgumā plānoto</t>
  </si>
  <si>
    <t>SIA Vidzemes slimnīca</t>
  </si>
  <si>
    <t>Pārvietojamais medicīniskais aizslietnis 3-daļīgs</t>
  </si>
  <si>
    <t>Conoxia 15 L baloni</t>
  </si>
  <si>
    <t>Linde Gas SIA</t>
  </si>
  <si>
    <t>Observācijas saspiestā gaisa sistēmas remonts</t>
  </si>
  <si>
    <t>Conoxia baloni</t>
  </si>
  <si>
    <t>Conoxia 50 L baloni</t>
  </si>
  <si>
    <t>Conoxia 3 L baloni</t>
  </si>
  <si>
    <t>Baktericīdais gaisa caurplūdes recirkulators</t>
  </si>
  <si>
    <t>Dezinfekcija</t>
  </si>
  <si>
    <t>NOCOSPREY dezinfekcijas aparāts</t>
  </si>
  <si>
    <t>AMR-00531</t>
  </si>
  <si>
    <t>SIA AMRID</t>
  </si>
  <si>
    <t>20-04843</t>
  </si>
  <si>
    <t>Roku dezinfekcijas aparāti</t>
  </si>
  <si>
    <t>Matracis izgulējumu profilaksei un ārstēšana</t>
  </si>
  <si>
    <t xml:space="preserve">Medicīniskais UltraHD monitors </t>
  </si>
  <si>
    <t>Videonovērošanas kameras</t>
  </si>
  <si>
    <t>Pulsa oksimetri</t>
  </si>
  <si>
    <t>Pulsa oksimetrs</t>
  </si>
  <si>
    <t>Skābekļa plūsmas mērītāji</t>
  </si>
  <si>
    <t>Skabekļa sistēmas pārveida  lielas plūsmas vajadzībām. T.sk. Papildus ievadi, reduktoru maiņas, papildus tranšejas</t>
  </si>
  <si>
    <t>21-00028</t>
  </si>
  <si>
    <t xml:space="preserve">Videolaringoskops </t>
  </si>
  <si>
    <t>Videolaringoskops</t>
  </si>
  <si>
    <t>SIA "Ziemeļkurzemes reģionālā slimnīca"</t>
  </si>
  <si>
    <t>Automātiskās virsmu dezinfekcijas iekārtas</t>
  </si>
  <si>
    <t>Infūzu statīvi</t>
  </si>
  <si>
    <t>Inhalatori</t>
  </si>
  <si>
    <t>Inhalācijas aparāts</t>
  </si>
  <si>
    <t>Elektrokardiogrāfi</t>
  </si>
  <si>
    <t>RTG</t>
  </si>
  <si>
    <t>Mobilā rentgenogrāfijas iekārta</t>
  </si>
  <si>
    <t>4 Monitori vitālo rādītāju noteikšanai_sistēma_ar programmatūru</t>
  </si>
  <si>
    <t>Pacientu monitori</t>
  </si>
  <si>
    <t>Vitālo parametru novērošanas monitors</t>
  </si>
  <si>
    <t>Portatīvais polsa oksimetrs triecienizturīgs</t>
  </si>
  <si>
    <t>Augsta plūsmas skābekļa terapijas iekārta</t>
  </si>
  <si>
    <t>Skābekļa plūsmas mērītājs ar mitrinātāju</t>
  </si>
  <si>
    <t>Infuzomati</t>
  </si>
  <si>
    <t>Vakuuma sūknis (sūknis-ežektors)</t>
  </si>
  <si>
    <t>Enterālās barošanas sūkņi</t>
  </si>
  <si>
    <t>Ultrasonogrāfijas aparāts</t>
  </si>
  <si>
    <t>Slēgtā tipa baktericīdā lampa</t>
  </si>
  <si>
    <t>Gultas/ mēbeles</t>
  </si>
  <si>
    <t xml:space="preserve">Pacientu skapītis pie gultas </t>
  </si>
  <si>
    <t xml:space="preserve">Funkcionālās gultas </t>
  </si>
  <si>
    <t>Intensīvās terapijas pacientu gultas</t>
  </si>
  <si>
    <t>Medicīniskais tekstils/matrači</t>
  </si>
  <si>
    <t>Pretizgulējumu matracis</t>
  </si>
  <si>
    <t>Pretizgulējumu matrači + pārvalki</t>
  </si>
  <si>
    <t>Platforma Covid-19 pacientu pacelšanai iegāde un uzstādīšana</t>
  </si>
  <si>
    <t>Pārvietojamais medikamentu un medicīnisko preču skapis</t>
  </si>
  <si>
    <t>X</t>
  </si>
  <si>
    <t>NVD-2/3-2021</t>
  </si>
  <si>
    <t>NVD-2/7-2021</t>
  </si>
  <si>
    <t>AM 1075</t>
  </si>
  <si>
    <t>AIRMED SIA</t>
  </si>
  <si>
    <t>21-00490</t>
  </si>
  <si>
    <t>GNL21_44</t>
  </si>
  <si>
    <t>GUNSnLASERS SIA</t>
  </si>
  <si>
    <t>21-00331</t>
  </si>
  <si>
    <t>NVD-2/4-2021</t>
  </si>
  <si>
    <t>NVD-2/21-2021</t>
  </si>
  <si>
    <t>AMR-00586</t>
  </si>
  <si>
    <t>29.01.2021.</t>
  </si>
  <si>
    <t>SIA "AMRID"</t>
  </si>
  <si>
    <t>ARB 105889</t>
  </si>
  <si>
    <t>21.01.2021.</t>
  </si>
  <si>
    <t>SIA “Arbor Medical Korporācija”</t>
  </si>
  <si>
    <t>ARB 106069</t>
  </si>
  <si>
    <t>25.01.2021.</t>
  </si>
  <si>
    <t>ARB 106458</t>
  </si>
  <si>
    <t>04.02.2021.</t>
  </si>
  <si>
    <t>SIA "AB Medical Group"</t>
  </si>
  <si>
    <t>SIA "NMS Elpa"</t>
  </si>
  <si>
    <t>SIA "AB Medcial Group"</t>
  </si>
  <si>
    <t>283705 BLV</t>
  </si>
  <si>
    <t>22.01.2021.</t>
  </si>
  <si>
    <t>SIA "B.Braun Medical"</t>
  </si>
  <si>
    <t>SIA "Oribalt Rīga"</t>
  </si>
  <si>
    <t>SIA "Tradintek"</t>
  </si>
  <si>
    <t>SIA "Arbor Medical Koroporācija"</t>
  </si>
  <si>
    <t>UAB "Slaugivita"</t>
  </si>
  <si>
    <t>SIA "ROL-AUTOMATIK SET"</t>
  </si>
  <si>
    <t>NVD-2/8-2021</t>
  </si>
  <si>
    <t xml:space="preserve">Sabiedrība ar ierobežotu atbildību "RĒZEKNES SLIMNĪCA" </t>
  </si>
  <si>
    <t>Asinsspiediena mērītāji (monitori)</t>
  </si>
  <si>
    <t>Mazgāšanas, dezinfekcijas iekārtas</t>
  </si>
  <si>
    <t xml:space="preserve">Ūdeņraža peroksīda miglotājs </t>
  </si>
  <si>
    <t>AMR-00583</t>
  </si>
  <si>
    <t>28.01.2021.</t>
  </si>
  <si>
    <t>Portatīva gaisa un telpas attīrīšanas iekārta</t>
  </si>
  <si>
    <t>Ultraskaņas inhalators</t>
  </si>
  <si>
    <t>Defibrilatori</t>
  </si>
  <si>
    <t xml:space="preserve">Endoskopijas iekārtas  + zondes (bronhoskopijas). Mazgājamā mašīna  </t>
  </si>
  <si>
    <t xml:space="preserve">Mobilas mākslīgās plaušu ventilācijas iekārtas </t>
  </si>
  <si>
    <t>Plaušu ventilācijas iekārta</t>
  </si>
  <si>
    <t>Skābekļa plūsmas mērītājs ar mitrinātāju</t>
  </si>
  <si>
    <t>6721757596
(59557330)</t>
  </si>
  <si>
    <t>perfuzori</t>
  </si>
  <si>
    <t>Vakumsūkņi (ķirurģiskais)</t>
  </si>
  <si>
    <t>Termostati infūzijas šķīdumam</t>
  </si>
  <si>
    <t>Vēnu biovizualizācijas iekārta</t>
  </si>
  <si>
    <t>Stetoskops</t>
  </si>
  <si>
    <t>MDQ-000054134</t>
  </si>
  <si>
    <t>Portatīvā ultrasonogrāfijas ierīce</t>
  </si>
  <si>
    <t>Ultravioletā starojuma lampas</t>
  </si>
  <si>
    <t>Aizslietnis, divdaļīgs</t>
  </si>
  <si>
    <t>Šībermašīna</t>
  </si>
  <si>
    <t>Endoskopu uzglabāšanas/ Žāvēšanas skapis</t>
  </si>
  <si>
    <t>Bezkontakta termometrs</t>
  </si>
  <si>
    <t>Ģenerators</t>
  </si>
  <si>
    <t>Medikamentu ratus ar datoriem specializētus māsu darbam</t>
  </si>
  <si>
    <t>Portatīvais elektrokardiogrāfs ar DICOM funkciju</t>
  </si>
  <si>
    <t>Pacientu pacēlājs</t>
  </si>
  <si>
    <t>SIA "Jelgavas pilsētas slimnīca"</t>
  </si>
  <si>
    <t>AMR-00597</t>
  </si>
  <si>
    <t>02.02.2021.</t>
  </si>
  <si>
    <t>SIA "Remedine"</t>
  </si>
  <si>
    <t>skābekļa plūsmas mērītājs ar mitrinātāju</t>
  </si>
  <si>
    <t>Inžekcijas sūkņi</t>
  </si>
  <si>
    <t>NVD-2/2-2021</t>
  </si>
  <si>
    <t>SIA "Liepājas reģionālā slimnīca"</t>
  </si>
  <si>
    <t>Fibrobronhoskops</t>
  </si>
  <si>
    <t>ARB 106334</t>
  </si>
  <si>
    <t>Elpceļu sekrētu aizvadīšanas iekārta</t>
  </si>
  <si>
    <t>ARB 105630</t>
  </si>
  <si>
    <t>SIA "UMT"</t>
  </si>
  <si>
    <t>Skābekļu tīkla izbūve un papildus skābekļa ligzdu papildināšana</t>
  </si>
  <si>
    <t>Covid nodaļa 2.st (Iekšķīgo slimību nod.)</t>
  </si>
  <si>
    <t>R201210-1</t>
  </si>
  <si>
    <t>Covid nodaļa 3.st (Iekšķīgo slimību nod.)</t>
  </si>
  <si>
    <t>R201221-3</t>
  </si>
  <si>
    <t>TR211038</t>
  </si>
  <si>
    <t>01343</t>
  </si>
  <si>
    <t>NVD-2/1-2021</t>
  </si>
  <si>
    <t>NVD-2/24-2021</t>
  </si>
  <si>
    <t>t.sk. līdz  31.12.2020.</t>
  </si>
  <si>
    <t>t.sk. 2021.gada janvārī</t>
  </si>
  <si>
    <t>t.sk. 2021.gada februārī</t>
  </si>
  <si>
    <t>t.sk. 2021.gada martā</t>
  </si>
  <si>
    <t>ARB106922</t>
  </si>
  <si>
    <t>16.02.2021.</t>
  </si>
  <si>
    <t>ARB 106457</t>
  </si>
  <si>
    <t>05.02.2021.</t>
  </si>
  <si>
    <t>ABMG 210197</t>
  </si>
  <si>
    <t>O21-000072630</t>
  </si>
  <si>
    <t>25.02.2021.</t>
  </si>
  <si>
    <t>TR 211168</t>
  </si>
  <si>
    <t>TR 211175</t>
  </si>
  <si>
    <t>ARB 107482</t>
  </si>
  <si>
    <t>ELPA 020666</t>
  </si>
  <si>
    <t>JIM 019990</t>
  </si>
  <si>
    <t>01.03.2021.</t>
  </si>
  <si>
    <t>ARB 107257</t>
  </si>
  <si>
    <t>03.03.2021.</t>
  </si>
  <si>
    <t>285892 BLV</t>
  </si>
  <si>
    <t>285894 BLV</t>
  </si>
  <si>
    <t>285893 BLV</t>
  </si>
  <si>
    <t>ARB 106990</t>
  </si>
  <si>
    <t>PRGM293891</t>
  </si>
  <si>
    <t>Medicīniskā iekārta/papildaprīkojums</t>
  </si>
  <si>
    <t>TR211185</t>
  </si>
  <si>
    <t>SIA Tradintek</t>
  </si>
  <si>
    <t>21-01334</t>
  </si>
  <si>
    <t>DISINFECT MED BALTIC SIA</t>
  </si>
  <si>
    <t>MEDILINK SIA</t>
  </si>
  <si>
    <t>020779</t>
  </si>
  <si>
    <t>NMS ELPA</t>
  </si>
  <si>
    <t>augstas plūsmas deguna kanulas</t>
  </si>
  <si>
    <t>TRADINTEK SIA</t>
  </si>
  <si>
    <t>020780</t>
  </si>
  <si>
    <t>B.BRAUN MEDICAL SIA</t>
  </si>
  <si>
    <t>vakuuma sūknis (sūknis-ežektors)</t>
  </si>
  <si>
    <t>Trollis</t>
  </si>
  <si>
    <t>Medikamentu trollis</t>
  </si>
  <si>
    <t>Slēgtā tipa bahtericīdā lampa</t>
  </si>
  <si>
    <t>Kront</t>
  </si>
  <si>
    <t>monitoru manšetes; M-4; L-4; XL-4</t>
  </si>
  <si>
    <t>ARBOR MEDICAL KORPORĀCIJA SIA</t>
  </si>
  <si>
    <t>Gultas/mēbeles</t>
  </si>
  <si>
    <t>pacientu aprūpes galdi</t>
  </si>
  <si>
    <t>procedūru galdiņš</t>
  </si>
  <si>
    <t>Gulta, tai skaiā intensīvā terapija</t>
  </si>
  <si>
    <t>Medicīniskais tekstiks/matrači</t>
  </si>
  <si>
    <t>Pozicionēšanas spilveni, ķīļi, ruļļi: rulli 125x20 - 6; atbalsta ķļilis - 6; daudzfunkcionāls spilvens - 6</t>
  </si>
  <si>
    <t xml:space="preserve">Spilvendrāna </t>
  </si>
  <si>
    <t>EGLE RIS SIA</t>
  </si>
  <si>
    <t xml:space="preserve">Spilvens </t>
  </si>
  <si>
    <t>veļas savākšanas rati</t>
  </si>
  <si>
    <t>10.03.2021.</t>
  </si>
  <si>
    <t>ANITRA SIA</t>
  </si>
  <si>
    <t>uzkopšanas rati ar aprīkojumu</t>
  </si>
  <si>
    <t>18.03.2021.</t>
  </si>
  <si>
    <t>fiksācijas saites komplekti (roku, kāju komplekti ar klipšiem)</t>
  </si>
  <si>
    <t>Krokši</t>
  </si>
  <si>
    <t>Aizslietnis Ķirurģijā koka (depo)</t>
  </si>
  <si>
    <t>Sienas stiprinājums (Aj)</t>
  </si>
  <si>
    <t>Vēja - gaisa aizkari (Atspulgs logiem)</t>
  </si>
  <si>
    <t>Atkritumu konteineri parastie (Depo)</t>
  </si>
  <si>
    <t>Aizkari</t>
  </si>
  <si>
    <t>Infekciozo atkritumu kontieneris ar pedāli</t>
  </si>
  <si>
    <t>Profiks CLEAN SIA</t>
  </si>
  <si>
    <t>atkritumu tvertnes ar vāku un pedāli</t>
  </si>
  <si>
    <t>Filtri maskām (Tamrex)</t>
  </si>
  <si>
    <t>Aizslietņu metāla konstrukcijas un koka konstrukcijas</t>
  </si>
  <si>
    <t>SEDUMI SIA</t>
  </si>
  <si>
    <t>Nomāts instruments (Ramirent)</t>
  </si>
  <si>
    <t>RAMIRENT BALTIC AS</t>
  </si>
  <si>
    <t>Kameras (reanimācijas un intensīvo, izolatora, boksa gultu novērošana)</t>
  </si>
  <si>
    <t xml:space="preserve">Tiek aprīkotas pārprofilētās 57 vidēji smagu pacientu gultas. </t>
  </si>
  <si>
    <t>ARB 106598</t>
  </si>
  <si>
    <t>R210210-2</t>
  </si>
  <si>
    <t>10.02.2021.</t>
  </si>
  <si>
    <t>BLV 284657</t>
  </si>
  <si>
    <t>Komentārs par izpildes progresu</t>
  </si>
  <si>
    <t>Maksājuma uzdevums</t>
  </si>
  <si>
    <t>Pavadzīme</t>
  </si>
  <si>
    <t>Plānotais finansējums</t>
  </si>
  <si>
    <t xml:space="preserve">Maksājuma uzdevums </t>
  </si>
  <si>
    <t xml:space="preserve">Komentārs par izpildes progresu </t>
  </si>
  <si>
    <t>16.03.2021.</t>
  </si>
  <si>
    <t>ABMG 210429</t>
  </si>
  <si>
    <t>ABTK 210833</t>
  </si>
  <si>
    <t>ARB 108137</t>
  </si>
  <si>
    <t>12.03.2021.</t>
  </si>
  <si>
    <t>ARB 107767</t>
  </si>
  <si>
    <t>AM210300179</t>
  </si>
  <si>
    <t>ARB 108113</t>
  </si>
  <si>
    <t>17.03.2021.</t>
  </si>
  <si>
    <t>ARB 108625</t>
  </si>
  <si>
    <t>19.03.2021.</t>
  </si>
  <si>
    <t>ELPA 020886</t>
  </si>
  <si>
    <t>15.03.2021.</t>
  </si>
  <si>
    <t>SET 000008</t>
  </si>
  <si>
    <t>MMD 344468</t>
  </si>
  <si>
    <t>SIA MAGNUM MEDICAL</t>
  </si>
  <si>
    <t>Informācija par finanšu līdzekļu izlietojumu</t>
  </si>
  <si>
    <t>ABTK 210510</t>
  </si>
  <si>
    <t>AMERIKAS Baltijas Tehnoloģiju koorporācija SIA</t>
  </si>
  <si>
    <t>ARB 108730</t>
  </si>
  <si>
    <t>R210315-1</t>
  </si>
  <si>
    <t>SIA "ELPA"</t>
  </si>
  <si>
    <t>ELPA 021040</t>
  </si>
  <si>
    <t>02.03.2021.</t>
  </si>
  <si>
    <t>atmaksājamā summa pēc korekcijas</t>
  </si>
  <si>
    <t>Nacionālais veselības dienests (planšetes)</t>
  </si>
  <si>
    <t xml:space="preserve">Pacientu monitors </t>
  </si>
  <si>
    <t>MQ-084292</t>
  </si>
  <si>
    <t xml:space="preserve">Pielikums
Veselības ministrijas pieprasījumam par apropriācijas izmaiņām     
</t>
  </si>
  <si>
    <t>Finansējuma izlietojums, atbilstoši 2021.gada 12.marta Ministru kabineta rīkojumam Nr.161 (prot. Nr. 25 72. §)</t>
  </si>
  <si>
    <t>ARB 107667</t>
  </si>
  <si>
    <t>Veikta apmaksa par 1.piešķīrumu no LNG (pēc FM rīkojuma 275) uz 01.07.2021</t>
  </si>
  <si>
    <t xml:space="preserve"> Pieprasījums uz apmaksu no Solidaritātes fonda</t>
  </si>
  <si>
    <t>Pieprasījums uz apmaksu no Solidaritātes fonda</t>
  </si>
  <si>
    <t>ARB 103189</t>
  </si>
  <si>
    <t>03.11.2020.</t>
  </si>
  <si>
    <t>AM 962</t>
  </si>
  <si>
    <t>10.11.2020.</t>
  </si>
  <si>
    <t>SIA "AIRMED"</t>
  </si>
  <si>
    <t>AM 963</t>
  </si>
  <si>
    <t>ARB 103205 ARB 103207</t>
  </si>
  <si>
    <t xml:space="preserve">03.11.2020. </t>
  </si>
  <si>
    <t>Informācija par izpildi: Pasākumi izpildīti</t>
  </si>
  <si>
    <t>Iegādāts pirms MK lēmuma pieņemšanas</t>
  </si>
  <si>
    <t>Starpība, kas paliek atlikumā pēc visu pasākumu izpildes, euro</t>
  </si>
  <si>
    <t>Noslēgts līgums ar Seikom SIA, tiek veiktas piegādes</t>
  </si>
  <si>
    <t>TIek gatavota tirgus izpēte. Piegāde augustā</t>
  </si>
  <si>
    <t>28.12.20.074893</t>
  </si>
  <si>
    <t>28.12.20.074901</t>
  </si>
  <si>
    <t>01.12.20.073946</t>
  </si>
  <si>
    <t>TAMREX SIA</t>
  </si>
  <si>
    <t>15.04.21.078308</t>
  </si>
  <si>
    <t>28.12.20.074891</t>
  </si>
  <si>
    <t>08.12.20.074052</t>
  </si>
  <si>
    <t>STALVE SIA</t>
  </si>
  <si>
    <t>30112020.</t>
  </si>
  <si>
    <t>24.11.20.073893</t>
  </si>
  <si>
    <t>DEPO DY SIA</t>
  </si>
  <si>
    <t>08.12.20.074007</t>
  </si>
  <si>
    <t>ATSPULGS LOGIEM SIA</t>
  </si>
  <si>
    <t>17.12.20.074618</t>
  </si>
  <si>
    <t>AJ PRODUKTI AS</t>
  </si>
  <si>
    <t>27.05.21.079599</t>
  </si>
  <si>
    <t>A.MEDICAL SIA</t>
  </si>
  <si>
    <t>11.05.21.079259</t>
  </si>
  <si>
    <t>SLAUGIVITA UAB</t>
  </si>
  <si>
    <t>30.04.21.078519</t>
  </si>
  <si>
    <t>30.04.21. 78646</t>
  </si>
  <si>
    <t>22.04.2021.</t>
  </si>
  <si>
    <t>06.04.21.077710</t>
  </si>
  <si>
    <t>26.05.21.079568</t>
  </si>
  <si>
    <t>021227</t>
  </si>
  <si>
    <t>06.04.21.077716</t>
  </si>
  <si>
    <t>27.05.21.079581</t>
  </si>
  <si>
    <t>KID-MAN LATVIJA</t>
  </si>
  <si>
    <t>Pozicionēšanas spilveni, ķīļi, ruļļi: rulli 125x20 - 6; atbalsta ķīllis - 6; daudzfunkcionāls spilvens - 6</t>
  </si>
  <si>
    <t>28.12.20.074846</t>
  </si>
  <si>
    <t>baltmedika sia</t>
  </si>
  <si>
    <t>30.04.21.078656</t>
  </si>
  <si>
    <t>29.07.21.081674</t>
  </si>
  <si>
    <t>29.07.21.081673</t>
  </si>
  <si>
    <t>SCANMED SIA</t>
  </si>
  <si>
    <t>30.04.21.078655</t>
  </si>
  <si>
    <t>28.04.21. 078519</t>
  </si>
  <si>
    <t>25.02.21.076535</t>
  </si>
  <si>
    <t>16.04.21.078358</t>
  </si>
  <si>
    <t>Tiek gatavots iepirkums. Piegāde septembrī</t>
  </si>
  <si>
    <t>29.06.21.080419</t>
  </si>
  <si>
    <t>30.04.21.078518</t>
  </si>
  <si>
    <t>28.04.21.078516</t>
  </si>
  <si>
    <t>30.04.21.078517</t>
  </si>
  <si>
    <t>18.02.21.076591</t>
  </si>
  <si>
    <t>020213</t>
  </si>
  <si>
    <t>30.04.21.078515</t>
  </si>
  <si>
    <t>KJ SERVISS SIA</t>
  </si>
  <si>
    <t>09.03.21.076585</t>
  </si>
  <si>
    <t>05.07.21.080448</t>
  </si>
  <si>
    <t>GRAINA UAB</t>
  </si>
  <si>
    <t>31.03.20.77439</t>
  </si>
  <si>
    <t>Iestādes nosaukums</t>
  </si>
  <si>
    <t>SIA Jēkabpils reģionālā slimnīca, reģ. Nr.50003356621</t>
  </si>
  <si>
    <t>t.sk. 2021.gada aprīlī</t>
  </si>
  <si>
    <t>t.sk. 2021.gada maijā</t>
  </si>
  <si>
    <t>t.sk. 2021.gada jūnijā</t>
  </si>
  <si>
    <t>t.sk. 2021.gada jūlijā</t>
  </si>
  <si>
    <t>Informācija par Līguma izpildi:</t>
  </si>
  <si>
    <t>Reversais PVN</t>
  </si>
  <si>
    <t>CAP 202227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</si>
  <si>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Ziemeļkurzemes reģionālā slimnīca”</t>
    </r>
  </si>
  <si>
    <t>CAP 204860</t>
  </si>
  <si>
    <t>01.06.2021.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</si>
  <si>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Vidzemes slimnīca”</t>
    </r>
  </si>
  <si>
    <t>CAP 202609</t>
  </si>
  <si>
    <t>28.04.2021.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</si>
  <si>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Tukuma slimnīca”</t>
    </r>
  </si>
  <si>
    <t>CAP 202250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</si>
  <si>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Traumatoloģijas un ortopēdijas slimnīca”</t>
    </r>
  </si>
  <si>
    <t>CAP 202494</t>
  </si>
  <si>
    <t>27.04.2021.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</si>
  <si>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Strenču psihoneiroloģiskā slimnīca”</t>
    </r>
  </si>
  <si>
    <t>CAP 202228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</si>
  <si>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Slimnīca „Ģintermuiža””</t>
    </r>
  </si>
  <si>
    <t>CAP 202241</t>
  </si>
  <si>
    <t xml:space="preserve">22.04.2021. 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</si>
  <si>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psihiatrijas un narkoloģijas centrs”</t>
    </r>
  </si>
  <si>
    <t>CAP 202242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</si>
  <si>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2.slimnīca”</t>
    </r>
  </si>
  <si>
    <t>CAP 202497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</si>
  <si>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1.slimnīca”</t>
    </r>
  </si>
  <si>
    <t>CAP 204828</t>
  </si>
  <si>
    <r>
      <t xml:space="preserve">VSIA </t>
    </r>
    <r>
      <rPr>
        <b/>
        <sz val="11"/>
        <color rgb="FF000000"/>
        <rFont val="Calibri"/>
        <family val="2"/>
        <charset val="186"/>
        <scheme val="minor"/>
      </rPr>
      <t>„Paula Stradiņa klīniskā universitātes slimnīca”</t>
    </r>
  </si>
  <si>
    <t>CAP 204853</t>
  </si>
  <si>
    <t>SIA „RĒZEKNES SLIMNĪCA”</t>
  </si>
  <si>
    <t>CAP 202500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</si>
  <si>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Ludzas medicīnas centrs</t>
    </r>
    <r>
      <rPr>
        <b/>
        <sz val="11"/>
        <color rgb="FF000000"/>
        <rFont val="Calibri"/>
        <family val="2"/>
        <charset val="186"/>
        <scheme val="minor"/>
      </rPr>
      <t>”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</si>
  <si>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CAP 202608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</si>
  <si>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Liepājas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</si>
  <si>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202231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</si>
  <si>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Jūrmalas slimnīca</t>
    </r>
    <r>
      <rPr>
        <b/>
        <sz val="11"/>
        <color rgb="FF000000"/>
        <rFont val="Calibri"/>
        <family val="2"/>
        <charset val="186"/>
        <scheme val="minor"/>
      </rPr>
      <t>”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</si>
  <si>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CAP 202602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</si>
  <si>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>„</t>
    </r>
    <r>
      <rPr>
        <b/>
        <sz val="11"/>
        <color theme="1"/>
        <rFont val="Calibri"/>
        <family val="2"/>
        <charset val="186"/>
        <scheme val="minor"/>
      </rPr>
      <t>Jēkabpils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</si>
  <si>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202492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</si>
  <si>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Jelgavas pilsētas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</si>
  <si>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 xml:space="preserve">CAP 202498 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</si>
  <si>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Dobeles un apkārtnes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</si>
  <si>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202491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</si>
  <si>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Daugavpils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</si>
  <si>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203307</t>
  </si>
  <si>
    <t>10.05.2021.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</si>
  <si>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Daugavpils psihoneiroloģiskā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</si>
  <si>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202244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</si>
  <si>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Bērnu klīniskā universitātes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</si>
  <si>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202234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</si>
  <si>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</t>
    </r>
    <r>
      <rPr>
        <b/>
        <sz val="11"/>
        <color theme="1"/>
        <rFont val="Calibri"/>
        <family val="2"/>
        <charset val="186"/>
        <scheme val="minor"/>
      </rPr>
      <t>Bauskas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</si>
  <si>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202235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</si>
  <si>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„Balvu un Gulbenes slimnīcu apvienība”</t>
    </r>
  </si>
  <si>
    <t>CAP 205330</t>
  </si>
  <si>
    <t>08.06.2021.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</si>
  <si>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„Rīgas Austrumu klīniskā universitātes slimnīca”</t>
    </r>
  </si>
  <si>
    <t>CAP 202236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</si>
  <si>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„Aizkraukles slimnīca”</t>
    </r>
  </si>
  <si>
    <t>numurs</t>
  </si>
  <si>
    <t>Piezīmes par PVN</t>
  </si>
  <si>
    <t>Summa ar PVN</t>
  </si>
  <si>
    <t>Summa bez PVN</t>
  </si>
  <si>
    <t>Pavadzīmes</t>
  </si>
  <si>
    <t>Izpilde uz 08.07.2021.</t>
  </si>
  <si>
    <t>Izpilde uz 25.05.2021.</t>
  </si>
  <si>
    <t>NVD veiktā iepirkuma Cena no piegādātāja AS "Capital" ar PVN</t>
  </si>
  <si>
    <t>Planšetu skaits gb</t>
  </si>
  <si>
    <t>Nr.p.k.</t>
  </si>
  <si>
    <t>Iestādes, kam atbilstoši  Ministru kabineta 2021.gada 12.marta rīkojuma Nr.161 “Par finanšu līdzekļu piešķiršanu no valsts budžeta programmas "Līdzekļi neparedzētiem gadījumiem””  piešķirtas planšetes</t>
  </si>
  <si>
    <t>Kopā summa, euro</t>
  </si>
  <si>
    <t>Veikta daļēja apmaksa par 1.piešķīrumu no LNG (pēc FM rīkojuma 275) uz 01.07.2021</t>
  </si>
  <si>
    <r>
      <rPr>
        <b/>
        <sz val="12"/>
        <color theme="1"/>
        <rFont val="Times New Roman"/>
        <family val="1"/>
        <charset val="186"/>
      </rPr>
      <t xml:space="preserve">Informācija par Līguma izpildi: </t>
    </r>
    <r>
      <rPr>
        <sz val="12"/>
        <color theme="1"/>
        <rFont val="Times New Roman"/>
        <family val="1"/>
        <charset val="186"/>
      </rPr>
      <t>Ir pārprofilēta slimnīcas Bērnu nodaļa par Covid-19 nodaļu, izveidotas 20 gultas, pārprofilētas 20 Terapijas nodaļas gultas par Covid-19 gultām un 10 Ķirurģijas nodaļas gultas par Covid-19 gultām. Slimnīcā kopā ir pārfrofilētas 50  gultas Covid-19 pacientu ārstēšanai un medicīniskās iekārtas nepieciešamas  funkciju nodrošināšanai. Risku iegādāties medicīnas iekārtas rada nepietiekams pašu finansējums.</t>
    </r>
  </si>
  <si>
    <t>ARB 096604</t>
  </si>
  <si>
    <t>ARB 099973</t>
  </si>
  <si>
    <t>R201029-1</t>
  </si>
  <si>
    <r>
      <t>Informācija pa</t>
    </r>
    <r>
      <rPr>
        <sz val="12"/>
        <color theme="1"/>
        <rFont val="Times New Roman"/>
        <family val="1"/>
        <charset val="186"/>
      </rPr>
      <t>r Līguma i</t>
    </r>
    <r>
      <rPr>
        <b/>
        <sz val="12"/>
        <color theme="1"/>
        <rFont val="Times New Roman"/>
        <family val="1"/>
        <charset val="186"/>
      </rPr>
      <t>zpildi:
Pārprofilētas  15 gultas vietas slimnīcas A korpusa 9.st. (Stacionārāsrehabilitācijas nodaļas gultas par Covid-19 gultām)</t>
    </r>
  </si>
  <si>
    <r>
      <t xml:space="preserve">SIA </t>
    </r>
    <r>
      <rPr>
        <sz val="11.5"/>
        <color rgb="FF000000"/>
        <rFont val="Times New Roman"/>
        <family val="1"/>
        <charset val="204"/>
      </rPr>
      <t>„Arbor Medical Korporācija”</t>
    </r>
    <r>
      <rPr>
        <sz val="11.5"/>
        <color theme="1"/>
        <rFont val="Times New Roman"/>
        <family val="1"/>
        <charset val="204"/>
      </rPr>
      <t>,
reģ.Nr. 40003547099</t>
    </r>
  </si>
  <si>
    <t xml:space="preserve"> ARB 107773</t>
  </si>
  <si>
    <t>Sabiedrība ar ierobežotu atbildību "AB MEDICAL GROUP RIGA", 
reģ.Nr. 40003373297</t>
  </si>
  <si>
    <t>28.07.2021.</t>
  </si>
  <si>
    <t>ABMG 211372</t>
  </si>
  <si>
    <t>Sabiedrība ar ierobežotu atbildību "STEXKOM", reģ.Nr. 52403038701</t>
  </si>
  <si>
    <t>202107/04</t>
  </si>
  <si>
    <t>MLE Baltic Services UAB, reģ.Nr. 302505869</t>
  </si>
  <si>
    <t>20.06.2021.</t>
  </si>
  <si>
    <t>MLE000109675</t>
  </si>
  <si>
    <t>25.06.2021.</t>
  </si>
  <si>
    <t>ARB 111759</t>
  </si>
  <si>
    <t>16.07.2021.</t>
  </si>
  <si>
    <t>ABMG 211304</t>
  </si>
  <si>
    <t>Sabiedrība ar ierobežotu atbildību „MEDILINK”,
reģ.Nr. 40003996045</t>
  </si>
  <si>
    <t>24.02.2021.</t>
  </si>
  <si>
    <t>"TRADINTEK" SIA,
reģ.Nr. 40003308634</t>
  </si>
  <si>
    <t>TR 211275</t>
  </si>
  <si>
    <t>Videolaringoskops ( 50 reižu lietošanai)</t>
  </si>
  <si>
    <t>17.02.2021.</t>
  </si>
  <si>
    <t>07.05.2021.</t>
  </si>
  <si>
    <t>ARB 109961</t>
  </si>
  <si>
    <t>Sabiedrība ar ierobežotu atbildību "B.BRAUN MEDICAL",
reģ.Nr. 40003277955</t>
  </si>
  <si>
    <r>
      <t xml:space="preserve">SIA </t>
    </r>
    <r>
      <rPr>
        <sz val="11.5"/>
        <color rgb="FF000000"/>
        <rFont val="Times New Roman"/>
        <family val="1"/>
        <charset val="204"/>
      </rPr>
      <t>„</t>
    </r>
    <r>
      <rPr>
        <sz val="11.5"/>
        <color theme="1"/>
        <rFont val="Times New Roman"/>
        <family val="1"/>
        <charset val="204"/>
      </rPr>
      <t>Mediq Latvija”,
reģ.Nr. 40103295181</t>
    </r>
  </si>
  <si>
    <t>30.04.2021.</t>
  </si>
  <si>
    <t>ARB 109841</t>
  </si>
  <si>
    <t>SIA „A.MEDICAL”, 
reģ.Nr. 40103599415</t>
  </si>
  <si>
    <t>21.04.2021.</t>
  </si>
  <si>
    <t>AM210400368</t>
  </si>
  <si>
    <t>12.05.2021.</t>
  </si>
  <si>
    <t>ARB 110178</t>
  </si>
  <si>
    <t>05.03.2021.</t>
  </si>
  <si>
    <t>26.07.2021.</t>
  </si>
  <si>
    <t>ARB 112685</t>
  </si>
  <si>
    <t>Linde Gas SIA,
reģ.Nr. 40003068518</t>
  </si>
  <si>
    <t xml:space="preserve"> ARB 107753</t>
  </si>
  <si>
    <t>Siemens Healthcare Oy Latvijas filiāle,
reģ.Nr. 40103906527</t>
  </si>
  <si>
    <t>31.03.2021.</t>
  </si>
  <si>
    <t>Sabiedrība ar ierobežotu atbildību „REMEDINE”,
reģ.Nr. 42103022555</t>
  </si>
  <si>
    <t>14.04.2021.</t>
  </si>
  <si>
    <t>REM 16073</t>
  </si>
  <si>
    <t>41 un 161</t>
  </si>
  <si>
    <r>
      <t xml:space="preserve">SIA </t>
    </r>
    <r>
      <rPr>
        <sz val="11.5"/>
        <color rgb="FF000000"/>
        <rFont val="Times New Roman"/>
        <family val="1"/>
        <charset val="204"/>
      </rPr>
      <t>„</t>
    </r>
    <r>
      <rPr>
        <sz val="11.5"/>
        <color theme="1"/>
        <rFont val="Times New Roman"/>
        <family val="1"/>
        <charset val="204"/>
      </rPr>
      <t>J.I.M.”,
reģ.Nr. 40003191695</t>
    </r>
  </si>
  <si>
    <t>Sabiedrība ar ierobežotu atbildību „Amrid”,
reģ.Nr. 40103271732</t>
  </si>
  <si>
    <t>ABMG 211170</t>
  </si>
  <si>
    <t>MQ 084433</t>
  </si>
  <si>
    <t>Summa 
(ar PVN) EUR</t>
  </si>
  <si>
    <t>Plānotā summa 
(ar PVN), EUR</t>
  </si>
  <si>
    <t>Komentārs par izpildes progress</t>
  </si>
  <si>
    <r>
      <t xml:space="preserve">Informācija par Līguma izpildi:
</t>
    </r>
    <r>
      <rPr>
        <i/>
        <sz val="12"/>
        <color theme="1"/>
        <rFont val="Times New Roman"/>
        <family val="1"/>
        <charset val="204"/>
      </rPr>
      <t>Jaunizveidotās, pārprofilētās Covid-19 gultas - 82.</t>
    </r>
  </si>
  <si>
    <t>Sabiedrība ar ierobežotu atbildību „Amerikas Baltijas Tehnoloģiju Korporācija”,
reģ.Nr. 50003399781</t>
  </si>
  <si>
    <t>SIA „Arbor Medical Korporācija”,
reģ.Nr. 40003547099</t>
  </si>
  <si>
    <t>NMS ELPA SIA</t>
  </si>
  <si>
    <t>20-04552</t>
  </si>
  <si>
    <t>ELPA020109</t>
  </si>
  <si>
    <t>20-03804</t>
  </si>
  <si>
    <t>EURO DK SIA</t>
  </si>
  <si>
    <t>20-04028</t>
  </si>
  <si>
    <t>OLYMPUS Sverige Aktiebolag filiāle Latvijā</t>
  </si>
  <si>
    <t>20-000464</t>
  </si>
  <si>
    <t>21-03957</t>
  </si>
  <si>
    <t>LATO 00083</t>
  </si>
  <si>
    <t>20-03041</t>
  </si>
  <si>
    <t>LAT3161</t>
  </si>
  <si>
    <t>20-03899</t>
  </si>
  <si>
    <t>SPRAY BOX COMPANY, SIA</t>
  </si>
  <si>
    <t>20-02956</t>
  </si>
  <si>
    <t>20-03989</t>
  </si>
  <si>
    <t>Depo Diy SIA</t>
  </si>
  <si>
    <t>VAL329757</t>
  </si>
  <si>
    <t>21-05064</t>
  </si>
  <si>
    <t>VAL330382</t>
  </si>
  <si>
    <t>20-04338</t>
  </si>
  <si>
    <t>VAL330516</t>
  </si>
  <si>
    <t>20-04283</t>
  </si>
  <si>
    <t>VAL330455R</t>
  </si>
  <si>
    <t>VAL330455</t>
  </si>
  <si>
    <t>VAL330517</t>
  </si>
  <si>
    <t>20-01056</t>
  </si>
  <si>
    <t>NMS Elpa</t>
  </si>
  <si>
    <t>ELPA 018529</t>
  </si>
  <si>
    <t>20-02539</t>
  </si>
  <si>
    <t>BALERĪNA SIA</t>
  </si>
  <si>
    <t>2430/SM</t>
  </si>
  <si>
    <t>Noslēdzamu boksu izveide Covid19 procedūru nodrošināšanai (bīdāmās durvis)</t>
  </si>
  <si>
    <t>20-03891</t>
  </si>
  <si>
    <t>SIA EVERECO</t>
  </si>
  <si>
    <t>I-INVOICE 29600</t>
  </si>
  <si>
    <t>20-01569</t>
  </si>
  <si>
    <t>SIA BIOSAN</t>
  </si>
  <si>
    <t>20-04542</t>
  </si>
  <si>
    <t>20-04733</t>
  </si>
  <si>
    <t>UMT SIA</t>
  </si>
  <si>
    <t>R201129-1</t>
  </si>
  <si>
    <t>20-04461</t>
  </si>
  <si>
    <t>21-04009</t>
  </si>
  <si>
    <t>UNIKON SIA</t>
  </si>
  <si>
    <t>U21 3419</t>
  </si>
  <si>
    <t>20-02194</t>
  </si>
  <si>
    <t>U20 2964</t>
  </si>
  <si>
    <t>ELPA 02886</t>
  </si>
  <si>
    <t>PVN maksājums valsts budžetā</t>
  </si>
  <si>
    <t xml:space="preserve">SIA "Ostas celtnieks" </t>
  </si>
  <si>
    <t>OC 007597</t>
  </si>
  <si>
    <t>Būvdarbi (pacelāja pamatnes izbūve)</t>
  </si>
  <si>
    <t>29.02.2021</t>
  </si>
  <si>
    <t>Iekārta</t>
  </si>
  <si>
    <t>LATO Nr.00004</t>
  </si>
  <si>
    <t>ELPA 02945</t>
  </si>
  <si>
    <t>ARB108585</t>
  </si>
  <si>
    <t xml:space="preserve">Informācija par Līguma izpildi: SIA "Ziemeļkurzemes reģionālā slimnīca" Ventspils slimnīcā pacientiem ar vidēju slimības gaitu pārprofilētas 20 gultas Paliatīvajā nodaļā (17 paliatīvās aprūpes gultas un 3 hronisko pacientu gultas). Kardioloģijas nodaļā izveidota tranzītnodaļa, lai nošķirtu pacientus, kam tiek gaidītas Covid-19 analīzes (16 gultas). Pacientiem ar smagu slimības gaitu papildus izveidotas 3 II. līmeņa intensīvās terapijas gultas (ne-Covid pacientiem, pārprofilējot observācijas gultas) un 4 I.līmeņa  intensīvās terapijas gultas (Covid-19 pacientiem). Kopā pieejamas 9 ITN II līmeņa gultas (t.sk. 6 Covid-19 pacientiem) un 10 ITN I līmeņa gultas (t.sk.- 4 Covid-19 pacientiem).  Kopā ar esošajām 20 Infekciju nodaļas gultām, Covid-19 pacientiem šobrīd paredzētas 50 gultas (t.sk. 10 intensīvās terapijas gultas), no kurām pieejamas 43 gultas (t.sk. 10 intensīvās). </t>
  </si>
  <si>
    <t>Pieņemšanas-nodošanas akts no 17.03.2021.</t>
  </si>
  <si>
    <t>SIA "Medilink"</t>
  </si>
  <si>
    <t>PRGM295494</t>
  </si>
  <si>
    <t>Transporta rati tipa BS1504</t>
  </si>
  <si>
    <t>Pieņemšanas-nodošanas akts no 03.03.2021.</t>
  </si>
  <si>
    <t>ARB 107439</t>
  </si>
  <si>
    <t xml:space="preserve">Vakuumsūknis tipa Laerdal LSU </t>
  </si>
  <si>
    <t>Skābekļa plūsmas selektors ar plūsmu 0-25l/min un ar vītnies pievienojumu mitrināšanas traukam, tipa Mediflow Ultra II</t>
  </si>
  <si>
    <t>Pieņemšanas-nodošanas akts no 28.04.2021.</t>
  </si>
  <si>
    <t>SIA "Linde Gas"</t>
  </si>
  <si>
    <t xml:space="preserve">Autklavējams mitrinātājs, tilpuma 200 ml ar vītnes pievienojumu </t>
  </si>
  <si>
    <t>Pieņemšanas-nodošanas akts no 16.03.2021.</t>
  </si>
  <si>
    <t>TR 211231</t>
  </si>
  <si>
    <t>Progetti Rescue Life Defibrilators</t>
  </si>
  <si>
    <t>Defibrilators tipa PRIMEDIC DefiMonitor XD100 (līdz 360J)</t>
  </si>
  <si>
    <t>ELPA 020898</t>
  </si>
  <si>
    <t>Transportēšanas kapsula tipa BIO-SOMA EBV-30/40IN-CH</t>
  </si>
  <si>
    <t xml:space="preserve">Pieņemšanas-nodošanas akts no 7.04.2021. </t>
  </si>
  <si>
    <t>08.04.2021.</t>
  </si>
  <si>
    <t>ARB 108925</t>
  </si>
  <si>
    <t>Reanimācijas gulta tipa ELEGANZA 1 LE</t>
  </si>
  <si>
    <t xml:space="preserve">Pieņemšanas-nodošanas akts no 2.03.2021. </t>
  </si>
  <si>
    <t>SIA "UniKon"</t>
  </si>
  <si>
    <t>06.04.2021.</t>
  </si>
  <si>
    <t>U21 3337</t>
  </si>
  <si>
    <t>Pieņemšanas-nodošanas akts no 19.03.2021.</t>
  </si>
  <si>
    <t>ARB 108260</t>
  </si>
  <si>
    <t>Philips Respironics Trilogy 202</t>
  </si>
  <si>
    <t>Mākslīgās plaušu ventilācijas ierīce paredzēta neinvazīvai pacienta plaušu ventilācijai ar masku un invazīvai pacienta plaušu ventilāciju caur endotraheālo vai trahejas cauruli tipa Respironics Trilogy 202</t>
  </si>
  <si>
    <t>Pieņemšanas-nodošanas akts no 18.03.2021.</t>
  </si>
  <si>
    <t>286522 BLV</t>
  </si>
  <si>
    <t>Perfūzijas  sūknis tipa Space</t>
  </si>
  <si>
    <t>PICiX centrālā novērošanas stacija. Iekļauts: dators, programmatūra (licences uz 15 gultām).</t>
  </si>
  <si>
    <t>Pieņemšanas-nodošanas akts no 08.04.2021.</t>
  </si>
  <si>
    <t>ARB 109018</t>
  </si>
  <si>
    <t>Summa    (ar PVN) EUR</t>
  </si>
  <si>
    <t>SIA "Daugavpils reģionālā slimnīca"</t>
  </si>
  <si>
    <t>Summa, kas virzāma uz apmaksu</t>
  </si>
  <si>
    <t xml:space="preserve">Veikta apmaksa par 1.piešķīrumu no LNG (pēc FM rīkojuma 275) </t>
  </si>
  <si>
    <t>Pavadzīmē norādītais ierīces nosaukums</t>
  </si>
  <si>
    <t>Maksājuma uzdevuma Nr.</t>
  </si>
  <si>
    <t>Ir veikts</t>
  </si>
  <si>
    <t>Nav veikts</t>
  </si>
  <si>
    <t>Mākslīgā plaušu ventilācijas iekārta</t>
  </si>
  <si>
    <t>Pacientu novērošanas stacija</t>
  </si>
  <si>
    <t>Perfūzijas sūknis</t>
  </si>
  <si>
    <t>Baktericīdas lampas  slegta tipa (plūsmas tipa) tipa Dezar 5</t>
  </si>
  <si>
    <t>Gulta</t>
  </si>
  <si>
    <t>Baktericīdās lampas</t>
  </si>
  <si>
    <t>Transportēšanas kapsula</t>
  </si>
  <si>
    <t>Mitrinātājs</t>
  </si>
  <si>
    <t>Skābekļa plūsmas selektors</t>
  </si>
  <si>
    <t>Vakuumsūknis</t>
  </si>
  <si>
    <t>Rati</t>
  </si>
  <si>
    <t>Atsauce uz anotācijas pielikuma punktu</t>
  </si>
  <si>
    <t>Informācija par Līguma izpildi: Pasākumi īstenoti.</t>
  </si>
  <si>
    <t>Monitori (liela izmēra) līdz 40 collas</t>
  </si>
  <si>
    <t>Skābekļu tīkla izbūve un papildus skābekļa ligzdu papildināšanas materiāli un darbs</t>
  </si>
  <si>
    <t>Novērošanas monitors</t>
  </si>
  <si>
    <t>Dezinfekcijas iekārta</t>
  </si>
  <si>
    <t>Skabekļu plūsmas mērītājs</t>
  </si>
  <si>
    <t>Perfuzors</t>
  </si>
  <si>
    <t>Vakuuma sūknis</t>
  </si>
  <si>
    <t>Gultas</t>
  </si>
  <si>
    <t>Matrači un pārvalki</t>
  </si>
  <si>
    <t>Inžekcijas sūknis</t>
  </si>
  <si>
    <t>1.pielikums</t>
  </si>
  <si>
    <t>Pacientu vitālo parametru novērošanas monitors</t>
  </si>
  <si>
    <t>Endoskopijas iekārtas mazgājamā mašīna</t>
  </si>
  <si>
    <t>Vakumsūkņi</t>
  </si>
  <si>
    <t>Termostats</t>
  </si>
  <si>
    <t>Vēnu vizualizācijas iekārta</t>
  </si>
  <si>
    <t>Matracis</t>
  </si>
  <si>
    <t>Aizslietnis</t>
  </si>
  <si>
    <t>Termometrs</t>
  </si>
  <si>
    <t>Medikamentu rati</t>
  </si>
  <si>
    <t>Asinsspiediena mērītāji</t>
  </si>
  <si>
    <t>Mazgāšanas un  dezinfekcijas iekārtas</t>
  </si>
  <si>
    <t>Dezinfekcijas aparāti</t>
  </si>
  <si>
    <t>Informācija par Līguma izpildi: Pasākumu izpilde ir īstenota.</t>
  </si>
  <si>
    <t>Infūzijas statīvi</t>
  </si>
  <si>
    <t>Vitālo parametru monitori</t>
  </si>
  <si>
    <t>Ežektors</t>
  </si>
  <si>
    <t>Skapis</t>
  </si>
  <si>
    <t>Matracis un pārvalks</t>
  </si>
  <si>
    <t>Medicīnas skapis</t>
  </si>
  <si>
    <t>Platformas būvdarbi</t>
  </si>
  <si>
    <t>Pacēlājs</t>
  </si>
  <si>
    <t>Netiks apmaksāts</t>
  </si>
  <si>
    <t>Dezinfekcijas iekārtas</t>
  </si>
  <si>
    <t>vakuma sūknis</t>
  </si>
  <si>
    <t>Monitru manšetes</t>
  </si>
  <si>
    <t>Bahtericīdā lampa</t>
  </si>
  <si>
    <t>Pacientu skapītis</t>
  </si>
  <si>
    <t xml:space="preserve">gultas </t>
  </si>
  <si>
    <t>procedūru galds</t>
  </si>
  <si>
    <t>Pozicionēšanas spilveni</t>
  </si>
  <si>
    <t>Fiksācijas saites</t>
  </si>
  <si>
    <t>Atkritumu kontieneris</t>
  </si>
  <si>
    <t>Dažādas aizslietņu konstrukcijas</t>
  </si>
  <si>
    <t>Instrumenta noma</t>
  </si>
  <si>
    <t>Veikta apmaksa par 1.piešķīrumu no LNG (pēc FM rīkojuma 275) uz 01.07.2021 - veicama korekcija, jāņem nost</t>
  </si>
  <si>
    <t>Planšete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</si>
</sst>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3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</font>
    <font>
      <i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b/>
      <i/>
      <sz val="12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</cellStyleXfs>
  <cellXfs count="6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43" fontId="3" fillId="0" borderId="0" xfId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6" fillId="5" borderId="13" xfId="0" applyFont="1" applyFill="1" applyBorder="1" applyAlignment="1">
      <alignment horizontal="left" vertical="center" wrapText="1"/>
    </xf>
    <xf numFmtId="14" fontId="6" fillId="5" borderId="13" xfId="0" applyNumberFormat="1" applyFont="1" applyFill="1" applyBorder="1" applyAlignment="1">
      <alignment horizontal="center" vertical="center" wrapText="1"/>
    </xf>
    <xf numFmtId="43" fontId="6" fillId="6" borderId="13" xfId="0" applyNumberFormat="1" applyFont="1" applyFill="1" applyBorder="1" applyAlignment="1">
      <alignment horizontal="center" vertical="center" wrapText="1"/>
    </xf>
    <xf numFmtId="14" fontId="6" fillId="6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/>
    </xf>
    <xf numFmtId="165" fontId="6" fillId="6" borderId="13" xfId="1" applyNumberFormat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top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4" fontId="6" fillId="6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left" vertical="top" wrapText="1"/>
    </xf>
    <xf numFmtId="0" fontId="17" fillId="4" borderId="0" xfId="0" applyFont="1" applyFill="1" applyAlignment="1">
      <alignment vertical="top" wrapText="1"/>
    </xf>
    <xf numFmtId="0" fontId="17" fillId="4" borderId="0" xfId="0" applyFont="1" applyFill="1" applyAlignment="1">
      <alignment horizontal="center" vertical="center" wrapText="1"/>
    </xf>
    <xf numFmtId="4" fontId="17" fillId="4" borderId="0" xfId="0" applyNumberFormat="1" applyFont="1" applyFill="1" applyAlignment="1">
      <alignment vertical="top" wrapText="1"/>
    </xf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4" fontId="18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3" fontId="6" fillId="5" borderId="13" xfId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right" vertical="center" wrapText="1"/>
    </xf>
    <xf numFmtId="43" fontId="6" fillId="6" borderId="13" xfId="1" applyFont="1" applyFill="1" applyBorder="1" applyAlignment="1">
      <alignment horizontal="right" vertical="center" wrapText="1"/>
    </xf>
    <xf numFmtId="43" fontId="4" fillId="0" borderId="0" xfId="1" applyFont="1" applyAlignment="1">
      <alignment horizontal="right" vertical="top" wrapText="1"/>
    </xf>
    <xf numFmtId="43" fontId="4" fillId="0" borderId="0" xfId="1" applyFont="1" applyAlignment="1">
      <alignment vertical="top" wrapText="1"/>
    </xf>
    <xf numFmtId="0" fontId="8" fillId="0" borderId="0" xfId="0" applyFont="1" applyAlignment="1">
      <alignment vertical="top"/>
    </xf>
    <xf numFmtId="2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vertical="top" wrapText="1"/>
    </xf>
    <xf numFmtId="0" fontId="0" fillId="8" borderId="1" xfId="0" applyFill="1" applyBorder="1"/>
    <xf numFmtId="43" fontId="0" fillId="0" borderId="0" xfId="0" applyNumberFormat="1"/>
    <xf numFmtId="0" fontId="12" fillId="0" borderId="13" xfId="0" applyFont="1" applyFill="1" applyBorder="1" applyAlignment="1">
      <alignment horizontal="left" vertical="center"/>
    </xf>
    <xf numFmtId="4" fontId="3" fillId="0" borderId="13" xfId="0" applyNumberFormat="1" applyFont="1" applyFill="1" applyBorder="1" applyAlignment="1">
      <alignment vertical="top"/>
    </xf>
    <xf numFmtId="0" fontId="12" fillId="0" borderId="13" xfId="0" applyFont="1" applyFill="1" applyBorder="1" applyAlignment="1">
      <alignment vertical="center"/>
    </xf>
    <xf numFmtId="4" fontId="6" fillId="6" borderId="10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0" borderId="13" xfId="0" applyBorder="1"/>
    <xf numFmtId="0" fontId="4" fillId="0" borderId="13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3" fillId="9" borderId="13" xfId="0" applyFont="1" applyFill="1" applyBorder="1" applyAlignment="1">
      <alignment vertical="top" wrapText="1"/>
    </xf>
    <xf numFmtId="4" fontId="3" fillId="9" borderId="13" xfId="0" applyNumberFormat="1" applyFont="1" applyFill="1" applyBorder="1" applyAlignment="1">
      <alignment vertical="top" wrapText="1"/>
    </xf>
    <xf numFmtId="2" fontId="3" fillId="9" borderId="13" xfId="0" applyNumberFormat="1" applyFont="1" applyFill="1" applyBorder="1" applyAlignment="1">
      <alignment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10" borderId="10" xfId="0" applyFont="1" applyFill="1" applyBorder="1" applyAlignment="1">
      <alignment horizontal="center" vertical="top" wrapText="1"/>
    </xf>
    <xf numFmtId="0" fontId="3" fillId="10" borderId="10" xfId="0" applyFont="1" applyFill="1" applyBorder="1" applyAlignment="1">
      <alignment horizontal="right" vertical="center" wrapText="1"/>
    </xf>
    <xf numFmtId="4" fontId="3" fillId="10" borderId="13" xfId="0" applyNumberFormat="1" applyFont="1" applyFill="1" applyBorder="1" applyAlignment="1">
      <alignment vertical="top" wrapText="1"/>
    </xf>
    <xf numFmtId="0" fontId="3" fillId="10" borderId="13" xfId="0" applyFont="1" applyFill="1" applyBorder="1" applyAlignment="1">
      <alignment vertical="top" wrapText="1"/>
    </xf>
    <xf numFmtId="2" fontId="3" fillId="10" borderId="13" xfId="0" applyNumberFormat="1" applyFont="1" applyFill="1" applyBorder="1" applyAlignment="1">
      <alignment vertical="top" wrapText="1"/>
    </xf>
    <xf numFmtId="0" fontId="3" fillId="7" borderId="13" xfId="0" applyFont="1" applyFill="1" applyBorder="1" applyAlignment="1">
      <alignment vertical="top" wrapText="1"/>
    </xf>
    <xf numFmtId="4" fontId="3" fillId="7" borderId="13" xfId="0" applyNumberFormat="1" applyFont="1" applyFill="1" applyBorder="1" applyAlignment="1">
      <alignment vertical="top" wrapText="1"/>
    </xf>
    <xf numFmtId="0" fontId="10" fillId="7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horizontal="right" vertical="top" wrapText="1"/>
    </xf>
    <xf numFmtId="0" fontId="10" fillId="7" borderId="13" xfId="0" applyFont="1" applyFill="1" applyBorder="1" applyAlignment="1">
      <alignment horizontal="right" vertical="top" wrapText="1"/>
    </xf>
    <xf numFmtId="4" fontId="0" fillId="0" borderId="0" xfId="0" applyNumberFormat="1"/>
    <xf numFmtId="0" fontId="3" fillId="8" borderId="13" xfId="0" applyFont="1" applyFill="1" applyBorder="1" applyAlignment="1">
      <alignment vertical="top" wrapText="1"/>
    </xf>
    <xf numFmtId="0" fontId="12" fillId="7" borderId="13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vertical="center"/>
    </xf>
    <xf numFmtId="0" fontId="12" fillId="8" borderId="13" xfId="0" applyFont="1" applyFill="1" applyBorder="1" applyAlignment="1">
      <alignment horizontal="left" vertical="center"/>
    </xf>
    <xf numFmtId="0" fontId="12" fillId="8" borderId="13" xfId="0" applyFont="1" applyFill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0" fontId="12" fillId="8" borderId="16" xfId="0" applyFont="1" applyFill="1" applyBorder="1" applyAlignment="1">
      <alignment vertical="center"/>
    </xf>
    <xf numFmtId="0" fontId="22" fillId="8" borderId="13" xfId="0" applyFont="1" applyFill="1" applyBorder="1" applyAlignment="1">
      <alignment vertical="top" wrapText="1"/>
    </xf>
    <xf numFmtId="0" fontId="12" fillId="8" borderId="5" xfId="0" applyFont="1" applyFill="1" applyBorder="1" applyAlignment="1">
      <alignment vertical="center"/>
    </xf>
    <xf numFmtId="4" fontId="0" fillId="0" borderId="1" xfId="0" applyNumberFormat="1" applyFill="1" applyBorder="1"/>
    <xf numFmtId="0" fontId="23" fillId="0" borderId="0" xfId="0" applyFont="1" applyAlignment="1">
      <alignment horizontal="center"/>
    </xf>
    <xf numFmtId="4" fontId="20" fillId="0" borderId="0" xfId="0" applyNumberFormat="1" applyFont="1"/>
    <xf numFmtId="4" fontId="24" fillId="4" borderId="13" xfId="0" applyNumberFormat="1" applyFont="1" applyFill="1" applyBorder="1"/>
    <xf numFmtId="4" fontId="24" fillId="6" borderId="13" xfId="0" applyNumberFormat="1" applyFont="1" applyFill="1" applyBorder="1"/>
    <xf numFmtId="4" fontId="24" fillId="12" borderId="13" xfId="0" applyNumberFormat="1" applyFont="1" applyFill="1" applyBorder="1"/>
    <xf numFmtId="0" fontId="25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right" vertical="center"/>
    </xf>
    <xf numFmtId="0" fontId="0" fillId="4" borderId="13" xfId="0" applyFill="1" applyBorder="1"/>
    <xf numFmtId="0" fontId="0" fillId="4" borderId="13" xfId="0" applyFill="1" applyBorder="1" applyAlignment="1">
      <alignment vertical="center" wrapText="1"/>
    </xf>
    <xf numFmtId="4" fontId="0" fillId="4" borderId="13" xfId="0" applyNumberFormat="1" applyFill="1" applyBorder="1" applyAlignment="1">
      <alignment vertical="center" wrapText="1"/>
    </xf>
    <xf numFmtId="0" fontId="0" fillId="12" borderId="13" xfId="0" applyFill="1" applyBorder="1" applyAlignment="1">
      <alignment vertical="center" wrapText="1"/>
    </xf>
    <xf numFmtId="4" fontId="0" fillId="12" borderId="13" xfId="0" applyNumberFormat="1" applyFill="1" applyBorder="1" applyAlignment="1">
      <alignment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7" fillId="4" borderId="13" xfId="0" applyFont="1" applyFill="1" applyBorder="1" applyAlignment="1">
      <alignment vertical="center" wrapText="1"/>
    </xf>
    <xf numFmtId="0" fontId="27" fillId="6" borderId="13" xfId="0" applyFont="1" applyFill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8" fillId="4" borderId="13" xfId="0" applyFont="1" applyFill="1" applyBorder="1" applyAlignment="1">
      <alignment horizontal="center" vertical="center" wrapText="1"/>
    </xf>
    <xf numFmtId="2" fontId="0" fillId="4" borderId="13" xfId="0" applyNumberFormat="1" applyFill="1" applyBorder="1" applyAlignment="1">
      <alignment vertical="center" wrapText="1"/>
    </xf>
    <xf numFmtId="2" fontId="0" fillId="12" borderId="13" xfId="0" applyNumberFormat="1" applyFill="1" applyBorder="1" applyAlignment="1">
      <alignment vertical="center" wrapText="1"/>
    </xf>
    <xf numFmtId="4" fontId="27" fillId="4" borderId="13" xfId="0" applyNumberFormat="1" applyFont="1" applyFill="1" applyBorder="1" applyAlignment="1">
      <alignment vertical="center" wrapText="1"/>
    </xf>
    <xf numFmtId="4" fontId="27" fillId="12" borderId="13" xfId="0" applyNumberFormat="1" applyFont="1" applyFill="1" applyBorder="1" applyAlignment="1">
      <alignment vertical="center" wrapText="1"/>
    </xf>
    <xf numFmtId="0" fontId="27" fillId="12" borderId="13" xfId="0" applyFont="1" applyFill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0" fillId="4" borderId="13" xfId="0" applyFill="1" applyBorder="1" applyAlignment="1">
      <alignment horizontal="center" wrapText="1"/>
    </xf>
    <xf numFmtId="0" fontId="12" fillId="11" borderId="7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vertical="top" wrapText="1"/>
    </xf>
    <xf numFmtId="0" fontId="12" fillId="11" borderId="9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top" wrapText="1"/>
    </xf>
    <xf numFmtId="0" fontId="12" fillId="11" borderId="10" xfId="0" applyFont="1" applyFill="1" applyBorder="1" applyAlignment="1">
      <alignment vertical="center"/>
    </xf>
    <xf numFmtId="0" fontId="12" fillId="11" borderId="19" xfId="0" applyFont="1" applyFill="1" applyBorder="1" applyAlignment="1">
      <alignment vertical="center"/>
    </xf>
    <xf numFmtId="0" fontId="12" fillId="11" borderId="7" xfId="0" applyFont="1" applyFill="1" applyBorder="1" applyAlignment="1">
      <alignment vertical="center"/>
    </xf>
    <xf numFmtId="0" fontId="12" fillId="11" borderId="13" xfId="0" applyFont="1" applyFill="1" applyBorder="1" applyAlignment="1">
      <alignment horizontal="left" vertical="center"/>
    </xf>
    <xf numFmtId="0" fontId="12" fillId="11" borderId="13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vertical="top"/>
    </xf>
    <xf numFmtId="0" fontId="12" fillId="0" borderId="19" xfId="0" applyFont="1" applyFill="1" applyBorder="1" applyAlignment="1">
      <alignment vertical="center"/>
    </xf>
    <xf numFmtId="0" fontId="12" fillId="11" borderId="10" xfId="0" applyFont="1" applyFill="1" applyBorder="1" applyAlignment="1">
      <alignment horizontal="left" vertical="center"/>
    </xf>
    <xf numFmtId="0" fontId="12" fillId="11" borderId="7" xfId="0" applyFont="1" applyFill="1" applyBorder="1" applyAlignment="1">
      <alignment vertical="top" wrapText="1"/>
    </xf>
    <xf numFmtId="0" fontId="12" fillId="8" borderId="13" xfId="0" applyFont="1" applyFill="1" applyBorder="1" applyAlignment="1">
      <alignment horizontal="right" vertical="center"/>
    </xf>
    <xf numFmtId="0" fontId="0" fillId="11" borderId="1" xfId="0" applyFill="1" applyBorder="1"/>
    <xf numFmtId="0" fontId="9" fillId="11" borderId="13" xfId="0" applyFont="1" applyFill="1" applyBorder="1" applyAlignment="1">
      <alignment vertical="center" wrapText="1"/>
    </xf>
    <xf numFmtId="0" fontId="9" fillId="11" borderId="13" xfId="0" applyFont="1" applyFill="1" applyBorder="1" applyAlignment="1">
      <alignment horizontal="center" vertical="center" wrapText="1"/>
    </xf>
    <xf numFmtId="4" fontId="9" fillId="11" borderId="13" xfId="0" applyNumberFormat="1" applyFont="1" applyFill="1" applyBorder="1" applyAlignment="1">
      <alignment horizontal="right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4" fontId="10" fillId="11" borderId="13" xfId="0" applyNumberFormat="1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vertical="top" wrapText="1"/>
    </xf>
    <xf numFmtId="4" fontId="6" fillId="7" borderId="13" xfId="0" applyNumberFormat="1" applyFont="1" applyFill="1" applyBorder="1" applyAlignment="1">
      <alignment vertical="top" wrapText="1"/>
    </xf>
    <xf numFmtId="14" fontId="3" fillId="7" borderId="13" xfId="0" applyNumberFormat="1" applyFont="1" applyFill="1" applyBorder="1" applyAlignment="1">
      <alignment vertical="top" wrapText="1"/>
    </xf>
    <xf numFmtId="0" fontId="3" fillId="7" borderId="13" xfId="0" applyFont="1" applyFill="1" applyBorder="1" applyAlignment="1">
      <alignment horizontal="left" vertical="top" wrapText="1"/>
    </xf>
    <xf numFmtId="0" fontId="18" fillId="11" borderId="13" xfId="0" applyFont="1" applyFill="1" applyBorder="1" applyAlignment="1">
      <alignment vertical="top" wrapText="1"/>
    </xf>
    <xf numFmtId="4" fontId="6" fillId="11" borderId="13" xfId="0" applyNumberFormat="1" applyFont="1" applyFill="1" applyBorder="1" applyAlignment="1">
      <alignment vertical="top" wrapText="1"/>
    </xf>
    <xf numFmtId="14" fontId="3" fillId="11" borderId="13" xfId="0" applyNumberFormat="1" applyFont="1" applyFill="1" applyBorder="1" applyAlignment="1">
      <alignment vertical="top" wrapText="1"/>
    </xf>
    <xf numFmtId="4" fontId="3" fillId="11" borderId="13" xfId="0" applyNumberFormat="1" applyFont="1" applyFill="1" applyBorder="1" applyAlignment="1">
      <alignment vertical="top" wrapText="1"/>
    </xf>
    <xf numFmtId="4" fontId="10" fillId="11" borderId="13" xfId="0" applyNumberFormat="1" applyFont="1" applyFill="1" applyBorder="1" applyAlignment="1">
      <alignment vertical="top" wrapText="1"/>
    </xf>
    <xf numFmtId="4" fontId="18" fillId="11" borderId="13" xfId="0" applyNumberFormat="1" applyFont="1" applyFill="1" applyBorder="1" applyAlignment="1">
      <alignment vertical="top" wrapText="1"/>
    </xf>
    <xf numFmtId="0" fontId="10" fillId="11" borderId="13" xfId="0" applyFont="1" applyFill="1" applyBorder="1" applyAlignment="1">
      <alignment vertical="top" wrapText="1"/>
    </xf>
    <xf numFmtId="14" fontId="10" fillId="11" borderId="13" xfId="0" applyNumberFormat="1" applyFont="1" applyFill="1" applyBorder="1" applyAlignment="1">
      <alignment vertical="top" wrapText="1"/>
    </xf>
    <xf numFmtId="49" fontId="10" fillId="11" borderId="13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32" fillId="8" borderId="13" xfId="0" applyFont="1" applyFill="1" applyBorder="1" applyAlignment="1">
      <alignment horizontal="right" vertical="center" wrapText="1"/>
    </xf>
    <xf numFmtId="3" fontId="14" fillId="6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2" fillId="8" borderId="13" xfId="0" applyFont="1" applyFill="1" applyBorder="1" applyAlignment="1">
      <alignment horizontal="left" vertical="center" wrapText="1"/>
    </xf>
    <xf numFmtId="0" fontId="32" fillId="11" borderId="13" xfId="0" applyFont="1" applyFill="1" applyBorder="1" applyAlignment="1">
      <alignment vertical="center" wrapText="1"/>
    </xf>
    <xf numFmtId="0" fontId="32" fillId="11" borderId="13" xfId="0" applyFont="1" applyFill="1" applyBorder="1" applyAlignment="1">
      <alignment horizontal="center" vertical="center" wrapText="1"/>
    </xf>
    <xf numFmtId="3" fontId="32" fillId="11" borderId="13" xfId="0" applyNumberFormat="1" applyFont="1" applyFill="1" applyBorder="1" applyAlignment="1">
      <alignment horizontal="right" vertical="center" wrapText="1"/>
    </xf>
    <xf numFmtId="14" fontId="32" fillId="11" borderId="13" xfId="0" applyNumberFormat="1" applyFont="1" applyFill="1" applyBorder="1" applyAlignment="1">
      <alignment horizontal="center" vertical="center" wrapText="1"/>
    </xf>
    <xf numFmtId="0" fontId="32" fillId="11" borderId="13" xfId="0" applyFont="1" applyFill="1" applyBorder="1" applyAlignment="1">
      <alignment horizontal="left" vertical="center" wrapText="1"/>
    </xf>
    <xf numFmtId="43" fontId="32" fillId="11" borderId="13" xfId="1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left" vertical="center" wrapText="1"/>
    </xf>
    <xf numFmtId="0" fontId="32" fillId="11" borderId="10" xfId="0" applyFont="1" applyFill="1" applyBorder="1" applyAlignment="1">
      <alignment horizontal="center" vertical="center" wrapText="1"/>
    </xf>
    <xf numFmtId="3" fontId="32" fillId="11" borderId="10" xfId="0" applyNumberFormat="1" applyFont="1" applyFill="1" applyBorder="1" applyAlignment="1">
      <alignment horizontal="right" vertical="center" wrapText="1"/>
    </xf>
    <xf numFmtId="0" fontId="34" fillId="11" borderId="13" xfId="0" applyFont="1" applyFill="1" applyBorder="1" applyAlignment="1">
      <alignment vertical="center" wrapText="1"/>
    </xf>
    <xf numFmtId="0" fontId="34" fillId="11" borderId="13" xfId="0" applyFont="1" applyFill="1" applyBorder="1" applyAlignment="1">
      <alignment horizontal="center" vertical="center" wrapText="1"/>
    </xf>
    <xf numFmtId="3" fontId="34" fillId="11" borderId="13" xfId="0" applyNumberFormat="1" applyFont="1" applyFill="1" applyBorder="1" applyAlignment="1">
      <alignment horizontal="right" vertical="center" wrapText="1"/>
    </xf>
    <xf numFmtId="14" fontId="34" fillId="11" borderId="13" xfId="0" applyNumberFormat="1" applyFont="1" applyFill="1" applyBorder="1" applyAlignment="1">
      <alignment horizontal="center" vertical="center" wrapText="1"/>
    </xf>
    <xf numFmtId="0" fontId="34" fillId="11" borderId="13" xfId="0" applyFont="1" applyFill="1" applyBorder="1" applyAlignment="1">
      <alignment horizontal="left" vertical="center" wrapText="1"/>
    </xf>
    <xf numFmtId="43" fontId="34" fillId="11" borderId="13" xfId="1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vertical="center" wrapText="1"/>
    </xf>
    <xf numFmtId="14" fontId="32" fillId="11" borderId="13" xfId="0" applyNumberFormat="1" applyFont="1" applyFill="1" applyBorder="1" applyAlignment="1">
      <alignment horizontal="left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vertical="center" wrapText="1"/>
    </xf>
    <xf numFmtId="0" fontId="32" fillId="8" borderId="13" xfId="0" applyFont="1" applyFill="1" applyBorder="1" applyAlignment="1">
      <alignment horizontal="center" vertical="center" wrapText="1"/>
    </xf>
    <xf numFmtId="3" fontId="32" fillId="8" borderId="13" xfId="0" applyNumberFormat="1" applyFont="1" applyFill="1" applyBorder="1" applyAlignment="1">
      <alignment horizontal="right" vertical="center" wrapText="1"/>
    </xf>
    <xf numFmtId="14" fontId="32" fillId="8" borderId="13" xfId="0" applyNumberFormat="1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left" vertical="center" wrapText="1"/>
    </xf>
    <xf numFmtId="43" fontId="32" fillId="8" borderId="13" xfId="1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vertical="center" wrapText="1"/>
    </xf>
    <xf numFmtId="0" fontId="34" fillId="8" borderId="13" xfId="0" applyFont="1" applyFill="1" applyBorder="1" applyAlignment="1">
      <alignment vertical="center" wrapText="1"/>
    </xf>
    <xf numFmtId="0" fontId="34" fillId="8" borderId="13" xfId="0" applyFont="1" applyFill="1" applyBorder="1" applyAlignment="1">
      <alignment horizontal="center" vertical="center" wrapText="1"/>
    </xf>
    <xf numFmtId="3" fontId="34" fillId="8" borderId="13" xfId="0" applyNumberFormat="1" applyFont="1" applyFill="1" applyBorder="1" applyAlignment="1">
      <alignment horizontal="right" vertical="center" wrapText="1"/>
    </xf>
    <xf numFmtId="14" fontId="34" fillId="8" borderId="13" xfId="0" applyNumberFormat="1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left" vertical="center" wrapText="1"/>
    </xf>
    <xf numFmtId="43" fontId="34" fillId="8" borderId="13" xfId="1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14" fontId="3" fillId="11" borderId="13" xfId="0" applyNumberFormat="1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vertical="center" wrapText="1"/>
    </xf>
    <xf numFmtId="43" fontId="3" fillId="11" borderId="13" xfId="1" applyFont="1" applyFill="1" applyBorder="1" applyAlignment="1">
      <alignment horizontal="right" vertical="center"/>
    </xf>
    <xf numFmtId="0" fontId="3" fillId="11" borderId="13" xfId="0" applyFont="1" applyFill="1" applyBorder="1" applyAlignment="1">
      <alignment horizontal="right" vertical="center" wrapText="1"/>
    </xf>
    <xf numFmtId="43" fontId="3" fillId="11" borderId="13" xfId="0" applyNumberFormat="1" applyFont="1" applyFill="1" applyBorder="1" applyAlignment="1">
      <alignment horizontal="right" vertical="center" wrapText="1"/>
    </xf>
    <xf numFmtId="43" fontId="3" fillId="11" borderId="13" xfId="1" applyFont="1" applyFill="1" applyBorder="1" applyAlignment="1">
      <alignment horizontal="right" vertical="center" wrapText="1"/>
    </xf>
    <xf numFmtId="0" fontId="3" fillId="7" borderId="13" xfId="0" applyFont="1" applyFill="1" applyBorder="1" applyAlignment="1">
      <alignment horizontal="left" vertical="center" wrapText="1"/>
    </xf>
    <xf numFmtId="14" fontId="3" fillId="7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vertical="center" wrapText="1"/>
    </xf>
    <xf numFmtId="43" fontId="3" fillId="7" borderId="13" xfId="1" applyFont="1" applyFill="1" applyBorder="1" applyAlignment="1">
      <alignment horizontal="right" vertical="center" wrapText="1"/>
    </xf>
    <xf numFmtId="0" fontId="3" fillId="7" borderId="13" xfId="0" applyFont="1" applyFill="1" applyBorder="1" applyAlignment="1">
      <alignment horizontal="right" vertical="center" wrapText="1"/>
    </xf>
    <xf numFmtId="43" fontId="3" fillId="7" borderId="13" xfId="0" applyNumberFormat="1" applyFont="1" applyFill="1" applyBorder="1" applyAlignment="1">
      <alignment horizontal="right" vertical="center" wrapText="1"/>
    </xf>
    <xf numFmtId="0" fontId="10" fillId="7" borderId="13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right" vertical="center" wrapText="1"/>
    </xf>
    <xf numFmtId="43" fontId="10" fillId="7" borderId="13" xfId="1" applyFont="1" applyFill="1" applyBorder="1" applyAlignment="1">
      <alignment horizontal="right" vertical="center" wrapText="1"/>
    </xf>
    <xf numFmtId="14" fontId="10" fillId="7" borderId="13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left" vertical="center" wrapText="1"/>
    </xf>
    <xf numFmtId="14" fontId="3" fillId="8" borderId="13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43" fontId="10" fillId="8" borderId="13" xfId="1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left" vertical="center"/>
    </xf>
    <xf numFmtId="43" fontId="3" fillId="7" borderId="13" xfId="1" applyFont="1" applyFill="1" applyBorder="1" applyAlignment="1">
      <alignment horizontal="right" vertical="center"/>
    </xf>
    <xf numFmtId="14" fontId="3" fillId="7" borderId="13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43" fontId="3" fillId="8" borderId="13" xfId="1" applyFont="1" applyFill="1" applyBorder="1" applyAlignment="1">
      <alignment horizontal="right" vertical="center" wrapText="1"/>
    </xf>
    <xf numFmtId="164" fontId="3" fillId="0" borderId="0" xfId="0" applyNumberFormat="1" applyFont="1" applyFill="1" applyAlignment="1">
      <alignment vertical="top" wrapText="1"/>
    </xf>
    <xf numFmtId="4" fontId="1" fillId="8" borderId="13" xfId="0" applyNumberFormat="1" applyFont="1" applyFill="1" applyBorder="1"/>
    <xf numFmtId="0" fontId="0" fillId="8" borderId="13" xfId="0" applyFill="1" applyBorder="1" applyAlignment="1">
      <alignment horizontal="center" wrapText="1"/>
    </xf>
    <xf numFmtId="43" fontId="3" fillId="0" borderId="13" xfId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4" borderId="13" xfId="0" applyFont="1" applyFill="1" applyBorder="1" applyAlignment="1">
      <alignment vertical="top" wrapText="1"/>
    </xf>
    <xf numFmtId="43" fontId="3" fillId="4" borderId="13" xfId="1" applyFont="1" applyFill="1" applyBorder="1" applyAlignment="1">
      <alignment vertical="top" wrapText="1"/>
    </xf>
    <xf numFmtId="0" fontId="10" fillId="0" borderId="7" xfId="0" applyFont="1" applyBorder="1" applyAlignment="1">
      <alignment vertical="center" wrapText="1"/>
    </xf>
    <xf numFmtId="0" fontId="3" fillId="15" borderId="13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15" borderId="13" xfId="0" applyFont="1" applyFill="1" applyBorder="1" applyAlignment="1">
      <alignment horizontal="left" vertical="center" wrapText="1"/>
    </xf>
    <xf numFmtId="43" fontId="6" fillId="6" borderId="13" xfId="1" applyFont="1" applyFill="1" applyBorder="1" applyAlignment="1">
      <alignment horizontal="center" vertical="center" wrapText="1"/>
    </xf>
    <xf numFmtId="43" fontId="6" fillId="5" borderId="13" xfId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10" fillId="11" borderId="7" xfId="0" applyFont="1" applyFill="1" applyBorder="1" applyAlignment="1">
      <alignment vertical="center" wrapText="1"/>
    </xf>
    <xf numFmtId="43" fontId="3" fillId="11" borderId="13" xfId="1" applyFont="1" applyFill="1" applyBorder="1" applyAlignment="1">
      <alignment vertical="top" wrapText="1"/>
    </xf>
    <xf numFmtId="0" fontId="3" fillId="11" borderId="13" xfId="0" applyFont="1" applyFill="1" applyBorder="1" applyAlignment="1">
      <alignment horizontal="right" vertical="top" wrapText="1"/>
    </xf>
    <xf numFmtId="43" fontId="3" fillId="11" borderId="13" xfId="1" applyFont="1" applyFill="1" applyBorder="1" applyAlignment="1">
      <alignment horizontal="right" vertical="top" wrapText="1"/>
    </xf>
    <xf numFmtId="14" fontId="3" fillId="11" borderId="13" xfId="0" applyNumberFormat="1" applyFont="1" applyFill="1" applyBorder="1" applyAlignment="1">
      <alignment horizontal="right" vertical="top" wrapText="1"/>
    </xf>
    <xf numFmtId="43" fontId="3" fillId="11" borderId="13" xfId="1" applyFont="1" applyFill="1" applyBorder="1" applyAlignment="1">
      <alignment vertical="center" wrapText="1"/>
    </xf>
    <xf numFmtId="3" fontId="12" fillId="11" borderId="13" xfId="0" applyNumberFormat="1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43" fontId="10" fillId="11" borderId="13" xfId="0" applyNumberFormat="1" applyFont="1" applyFill="1" applyBorder="1" applyAlignment="1">
      <alignment vertical="top" wrapText="1"/>
    </xf>
    <xf numFmtId="43" fontId="10" fillId="11" borderId="13" xfId="1" applyFont="1" applyFill="1" applyBorder="1" applyAlignment="1">
      <alignment vertical="top" wrapText="1"/>
    </xf>
    <xf numFmtId="14" fontId="4" fillId="11" borderId="13" xfId="0" applyNumberFormat="1" applyFont="1" applyFill="1" applyBorder="1" applyAlignment="1">
      <alignment horizontal="right" vertical="top" wrapText="1"/>
    </xf>
    <xf numFmtId="43" fontId="4" fillId="11" borderId="0" xfId="1" applyFont="1" applyFill="1" applyAlignment="1">
      <alignment vertical="top" wrapText="1"/>
    </xf>
    <xf numFmtId="43" fontId="12" fillId="11" borderId="13" xfId="1" applyFont="1" applyFill="1" applyBorder="1" applyAlignment="1">
      <alignment vertical="center" wrapText="1"/>
    </xf>
    <xf numFmtId="43" fontId="10" fillId="11" borderId="10" xfId="1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right" vertical="top" wrapText="1"/>
    </xf>
    <xf numFmtId="43" fontId="3" fillId="4" borderId="13" xfId="1" applyFont="1" applyFill="1" applyBorder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center" vertical="center" wrapText="1"/>
    </xf>
    <xf numFmtId="4" fontId="6" fillId="6" borderId="13" xfId="0" applyNumberFormat="1" applyFont="1" applyFill="1" applyBorder="1" applyAlignment="1">
      <alignment horizontal="right" vertical="center" wrapText="1"/>
    </xf>
    <xf numFmtId="4" fontId="6" fillId="5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8" borderId="13" xfId="0" applyFont="1" applyFill="1" applyBorder="1" applyAlignment="1">
      <alignment horizontal="center" vertical="center" wrapText="1"/>
    </xf>
    <xf numFmtId="4" fontId="3" fillId="8" borderId="13" xfId="0" applyNumberFormat="1" applyFont="1" applyFill="1" applyBorder="1" applyAlignment="1">
      <alignment horizontal="center" vertical="center" wrapText="1"/>
    </xf>
    <xf numFmtId="1" fontId="3" fillId="8" borderId="13" xfId="0" applyNumberFormat="1" applyFont="1" applyFill="1" applyBorder="1" applyAlignment="1">
      <alignment horizontal="center" vertical="center" wrapText="1"/>
    </xf>
    <xf numFmtId="4" fontId="3" fillId="8" borderId="13" xfId="0" applyNumberFormat="1" applyFont="1" applyFill="1" applyBorder="1" applyAlignment="1">
      <alignment horizontal="right" vertical="center" wrapText="1"/>
    </xf>
    <xf numFmtId="0" fontId="3" fillId="8" borderId="10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14" fontId="3" fillId="8" borderId="13" xfId="0" applyNumberFormat="1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top" wrapText="1"/>
    </xf>
    <xf numFmtId="4" fontId="0" fillId="0" borderId="1" xfId="0" applyNumberFormat="1" applyFont="1" applyFill="1" applyBorder="1"/>
    <xf numFmtId="2" fontId="0" fillId="0" borderId="0" xfId="0" applyNumberFormat="1" applyFill="1"/>
    <xf numFmtId="4" fontId="0" fillId="0" borderId="1" xfId="0" applyNumberFormat="1" applyFill="1" applyBorder="1" applyAlignment="1">
      <alignment horizontal="right"/>
    </xf>
    <xf numFmtId="0" fontId="0" fillId="8" borderId="0" xfId="0" applyFill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2" fillId="8" borderId="9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2" fillId="8" borderId="10" xfId="0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43" fontId="32" fillId="11" borderId="10" xfId="1" applyFont="1" applyFill="1" applyBorder="1" applyAlignment="1">
      <alignment horizontal="center" vertical="center" wrapText="1"/>
    </xf>
    <xf numFmtId="43" fontId="32" fillId="11" borderId="5" xfId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4" fontId="35" fillId="3" borderId="1" xfId="0" applyNumberFormat="1" applyFont="1" applyFill="1" applyBorder="1"/>
    <xf numFmtId="4" fontId="35" fillId="3" borderId="0" xfId="0" applyNumberFormat="1" applyFont="1" applyFill="1" applyBorder="1"/>
    <xf numFmtId="4" fontId="35" fillId="0" borderId="1" xfId="0" applyNumberFormat="1" applyFont="1" applyBorder="1"/>
    <xf numFmtId="4" fontId="35" fillId="0" borderId="0" xfId="0" applyNumberFormat="1" applyFont="1" applyBorder="1"/>
    <xf numFmtId="4" fontId="35" fillId="0" borderId="1" xfId="0" applyNumberFormat="1" applyFont="1" applyFill="1" applyBorder="1"/>
    <xf numFmtId="4" fontId="35" fillId="0" borderId="0" xfId="0" applyNumberFormat="1" applyFont="1" applyFill="1" applyBorder="1"/>
    <xf numFmtId="43" fontId="3" fillId="0" borderId="0" xfId="1" applyFont="1" applyFill="1" applyAlignment="1">
      <alignment horizontal="right" vertical="top" wrapText="1"/>
    </xf>
    <xf numFmtId="4" fontId="35" fillId="0" borderId="23" xfId="0" applyNumberFormat="1" applyFont="1" applyBorder="1"/>
    <xf numFmtId="4" fontId="0" fillId="8" borderId="1" xfId="0" applyNumberFormat="1" applyFill="1" applyBorder="1"/>
    <xf numFmtId="4" fontId="0" fillId="11" borderId="1" xfId="0" applyNumberFormat="1" applyFill="1" applyBorder="1"/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9" borderId="13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6" borderId="0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1" fontId="10" fillId="7" borderId="13" xfId="0" applyNumberFormat="1" applyFont="1" applyFill="1" applyBorder="1" applyAlignment="1">
      <alignment vertical="top" wrapText="1"/>
    </xf>
    <xf numFmtId="1" fontId="3" fillId="9" borderId="13" xfId="0" applyNumberFormat="1" applyFont="1" applyFill="1" applyBorder="1" applyAlignment="1">
      <alignment vertical="top" wrapText="1"/>
    </xf>
    <xf numFmtId="1" fontId="10" fillId="7" borderId="13" xfId="0" applyNumberFormat="1" applyFont="1" applyFill="1" applyBorder="1" applyAlignment="1">
      <alignment horizontal="right" vertical="top" wrapText="1"/>
    </xf>
    <xf numFmtId="1" fontId="3" fillId="10" borderId="13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4" fillId="11" borderId="9" xfId="0" applyFont="1" applyFill="1" applyBorder="1" applyAlignment="1">
      <alignment vertical="top" wrapText="1"/>
    </xf>
    <xf numFmtId="0" fontId="12" fillId="8" borderId="8" xfId="0" applyFont="1" applyFill="1" applyBorder="1" applyAlignment="1">
      <alignment vertical="center"/>
    </xf>
    <xf numFmtId="0" fontId="12" fillId="11" borderId="8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vertical="center"/>
    </xf>
    <xf numFmtId="0" fontId="12" fillId="11" borderId="8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center"/>
    </xf>
    <xf numFmtId="0" fontId="4" fillId="0" borderId="13" xfId="0" applyFont="1" applyBorder="1" applyAlignment="1">
      <alignment vertical="top" wrapText="1"/>
    </xf>
    <xf numFmtId="0" fontId="6" fillId="4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vertical="top"/>
    </xf>
    <xf numFmtId="0" fontId="12" fillId="11" borderId="1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center" wrapText="1"/>
    </xf>
    <xf numFmtId="0" fontId="12" fillId="8" borderId="13" xfId="0" applyFont="1" applyFill="1" applyBorder="1" applyAlignment="1">
      <alignment vertical="center" wrapText="1"/>
    </xf>
    <xf numFmtId="0" fontId="3" fillId="0" borderId="18" xfId="0" applyFont="1" applyBorder="1" applyAlignment="1">
      <alignment vertical="top" wrapText="1"/>
    </xf>
    <xf numFmtId="0" fontId="9" fillId="11" borderId="5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9" fillId="9" borderId="13" xfId="0" applyFont="1" applyFill="1" applyBorder="1" applyAlignment="1">
      <alignment vertical="center" wrapText="1"/>
    </xf>
    <xf numFmtId="4" fontId="32" fillId="11" borderId="13" xfId="0" applyNumberFormat="1" applyFont="1" applyFill="1" applyBorder="1" applyAlignment="1">
      <alignment horizontal="center" vertical="center" wrapText="1"/>
    </xf>
    <xf numFmtId="4" fontId="32" fillId="8" borderId="13" xfId="0" applyNumberFormat="1" applyFont="1" applyFill="1" applyBorder="1" applyAlignment="1">
      <alignment horizontal="center" vertical="center" wrapText="1"/>
    </xf>
    <xf numFmtId="4" fontId="34" fillId="11" borderId="13" xfId="0" applyNumberFormat="1" applyFont="1" applyFill="1" applyBorder="1" applyAlignment="1">
      <alignment horizontal="center" vertical="center" wrapText="1"/>
    </xf>
    <xf numFmtId="4" fontId="34" fillId="8" borderId="13" xfId="0" applyNumberFormat="1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vertical="center" wrapText="1"/>
    </xf>
    <xf numFmtId="0" fontId="32" fillId="9" borderId="13" xfId="0" applyFont="1" applyFill="1" applyBorder="1" applyAlignment="1">
      <alignment vertical="center" wrapText="1"/>
    </xf>
    <xf numFmtId="0" fontId="32" fillId="9" borderId="10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left" vertical="center" wrapText="1"/>
    </xf>
    <xf numFmtId="0" fontId="3" fillId="11" borderId="16" xfId="0" applyFont="1" applyFill="1" applyBorder="1" applyAlignment="1">
      <alignment horizontal="center" vertical="center" wrapText="1"/>
    </xf>
    <xf numFmtId="43" fontId="3" fillId="11" borderId="10" xfId="1" applyFont="1" applyFill="1" applyBorder="1" applyAlignment="1">
      <alignment horizontal="right" vertical="top" wrapText="1"/>
    </xf>
    <xf numFmtId="4" fontId="3" fillId="11" borderId="13" xfId="0" applyNumberFormat="1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vertical="center" wrapText="1"/>
    </xf>
    <xf numFmtId="14" fontId="3" fillId="9" borderId="13" xfId="0" applyNumberFormat="1" applyFont="1" applyFill="1" applyBorder="1" applyAlignment="1">
      <alignment horizontal="right" vertical="top" wrapText="1"/>
    </xf>
    <xf numFmtId="43" fontId="3" fillId="9" borderId="13" xfId="1" applyFont="1" applyFill="1" applyBorder="1" applyAlignment="1">
      <alignment horizontal="right" vertical="top" wrapText="1"/>
    </xf>
    <xf numFmtId="43" fontId="3" fillId="9" borderId="13" xfId="1" applyFont="1" applyFill="1" applyBorder="1" applyAlignment="1">
      <alignment vertical="top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vertical="center"/>
    </xf>
    <xf numFmtId="0" fontId="12" fillId="9" borderId="7" xfId="0" applyFont="1" applyFill="1" applyBorder="1" applyAlignment="1">
      <alignment vertical="top" wrapText="1"/>
    </xf>
    <xf numFmtId="0" fontId="12" fillId="9" borderId="13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vertical="center"/>
    </xf>
    <xf numFmtId="0" fontId="12" fillId="9" borderId="7" xfId="0" applyFont="1" applyFill="1" applyBorder="1" applyAlignment="1">
      <alignment vertical="center" wrapText="1"/>
    </xf>
    <xf numFmtId="0" fontId="3" fillId="10" borderId="13" xfId="0" applyFont="1" applyFill="1" applyBorder="1" applyAlignment="1">
      <alignment horizontal="left" vertical="center" wrapText="1"/>
    </xf>
    <xf numFmtId="14" fontId="3" fillId="10" borderId="13" xfId="0" applyNumberFormat="1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43" fontId="10" fillId="10" borderId="13" xfId="1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vertical="center" wrapText="1"/>
    </xf>
    <xf numFmtId="4" fontId="3" fillId="11" borderId="13" xfId="0" applyNumberFormat="1" applyFont="1" applyFill="1" applyBorder="1" applyAlignment="1">
      <alignment horizontal="right" vertical="top"/>
    </xf>
    <xf numFmtId="0" fontId="3" fillId="11" borderId="13" xfId="0" applyFont="1" applyFill="1" applyBorder="1" applyAlignment="1">
      <alignment horizontal="right" vertical="top"/>
    </xf>
    <xf numFmtId="14" fontId="3" fillId="11" borderId="13" xfId="0" applyNumberFormat="1" applyFont="1" applyFill="1" applyBorder="1" applyAlignment="1">
      <alignment horizontal="right" vertical="top"/>
    </xf>
    <xf numFmtId="0" fontId="4" fillId="11" borderId="13" xfId="0" applyFont="1" applyFill="1" applyBorder="1" applyAlignment="1">
      <alignment horizontal="right" vertical="top"/>
    </xf>
    <xf numFmtId="0" fontId="3" fillId="11" borderId="13" xfId="0" quotePrefix="1" applyFont="1" applyFill="1" applyBorder="1" applyAlignment="1">
      <alignment horizontal="right" vertical="top"/>
    </xf>
    <xf numFmtId="4" fontId="3" fillId="8" borderId="13" xfId="0" applyNumberFormat="1" applyFont="1" applyFill="1" applyBorder="1" applyAlignment="1">
      <alignment horizontal="right" vertical="top"/>
    </xf>
    <xf numFmtId="49" fontId="3" fillId="8" borderId="13" xfId="0" quotePrefix="1" applyNumberFormat="1" applyFont="1" applyFill="1" applyBorder="1" applyAlignment="1">
      <alignment horizontal="right" vertical="top"/>
    </xf>
    <xf numFmtId="14" fontId="3" fillId="8" borderId="13" xfId="0" applyNumberFormat="1" applyFont="1" applyFill="1" applyBorder="1" applyAlignment="1">
      <alignment horizontal="right" vertical="top"/>
    </xf>
    <xf numFmtId="0" fontId="3" fillId="8" borderId="13" xfId="0" applyFont="1" applyFill="1" applyBorder="1" applyAlignment="1">
      <alignment horizontal="right" vertical="top"/>
    </xf>
    <xf numFmtId="0" fontId="4" fillId="8" borderId="13" xfId="0" applyFont="1" applyFill="1" applyBorder="1" applyAlignment="1">
      <alignment horizontal="right" vertical="top" wrapText="1"/>
    </xf>
    <xf numFmtId="0" fontId="4" fillId="8" borderId="13" xfId="0" applyFont="1" applyFill="1" applyBorder="1" applyAlignment="1">
      <alignment horizontal="right" vertical="top"/>
    </xf>
    <xf numFmtId="4" fontId="3" fillId="0" borderId="13" xfId="0" applyNumberFormat="1" applyFont="1" applyFill="1" applyBorder="1" applyAlignment="1">
      <alignment horizontal="right" vertical="top"/>
    </xf>
    <xf numFmtId="2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4" fillId="0" borderId="13" xfId="0" applyFont="1" applyFill="1" applyBorder="1" applyAlignment="1">
      <alignment horizontal="right" vertical="top"/>
    </xf>
    <xf numFmtId="0" fontId="4" fillId="11" borderId="13" xfId="0" applyFont="1" applyFill="1" applyBorder="1" applyAlignment="1">
      <alignment horizontal="right" vertical="top" wrapText="1"/>
    </xf>
    <xf numFmtId="14" fontId="4" fillId="8" borderId="13" xfId="0" applyNumberFormat="1" applyFont="1" applyFill="1" applyBorder="1" applyAlignment="1">
      <alignment horizontal="right" vertical="top" wrapText="1"/>
    </xf>
    <xf numFmtId="14" fontId="4" fillId="8" borderId="13" xfId="0" applyNumberFormat="1" applyFont="1" applyFill="1" applyBorder="1" applyAlignment="1">
      <alignment horizontal="right" vertical="top"/>
    </xf>
    <xf numFmtId="49" fontId="4" fillId="11" borderId="13" xfId="0" applyNumberFormat="1" applyFont="1" applyFill="1" applyBorder="1" applyAlignment="1">
      <alignment horizontal="right" vertical="top" wrapText="1"/>
    </xf>
    <xf numFmtId="4" fontId="3" fillId="7" borderId="13" xfId="0" applyNumberFormat="1" applyFont="1" applyFill="1" applyBorder="1" applyAlignment="1">
      <alignment horizontal="right" vertical="top"/>
    </xf>
    <xf numFmtId="0" fontId="4" fillId="7" borderId="13" xfId="0" applyFont="1" applyFill="1" applyBorder="1" applyAlignment="1">
      <alignment horizontal="right" vertical="top"/>
    </xf>
    <xf numFmtId="14" fontId="4" fillId="7" borderId="13" xfId="0" applyNumberFormat="1" applyFont="1" applyFill="1" applyBorder="1" applyAlignment="1">
      <alignment horizontal="right" vertical="top"/>
    </xf>
    <xf numFmtId="0" fontId="4" fillId="11" borderId="13" xfId="0" quotePrefix="1" applyFont="1" applyFill="1" applyBorder="1" applyAlignment="1">
      <alignment horizontal="right" vertical="top"/>
    </xf>
    <xf numFmtId="14" fontId="4" fillId="11" borderId="13" xfId="0" applyNumberFormat="1" applyFont="1" applyFill="1" applyBorder="1" applyAlignment="1">
      <alignment horizontal="right" vertical="top"/>
    </xf>
    <xf numFmtId="0" fontId="4" fillId="8" borderId="13" xfId="0" quotePrefix="1" applyFont="1" applyFill="1" applyBorder="1" applyAlignment="1">
      <alignment horizontal="right" vertical="top"/>
    </xf>
    <xf numFmtId="0" fontId="3" fillId="11" borderId="10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right" vertical="center" wrapText="1"/>
    </xf>
    <xf numFmtId="43" fontId="3" fillId="11" borderId="10" xfId="1" applyFont="1" applyFill="1" applyBorder="1" applyAlignment="1">
      <alignment horizontal="right" vertical="center" wrapText="1"/>
    </xf>
    <xf numFmtId="0" fontId="3" fillId="11" borderId="0" xfId="0" applyFont="1" applyFill="1" applyAlignment="1">
      <alignment vertical="top" wrapText="1"/>
    </xf>
    <xf numFmtId="0" fontId="3" fillId="8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43" fontId="3" fillId="0" borderId="0" xfId="0" applyNumberFormat="1" applyFont="1" applyAlignment="1">
      <alignment vertical="top" wrapText="1"/>
    </xf>
    <xf numFmtId="0" fontId="3" fillId="11" borderId="10" xfId="0" applyFont="1" applyFill="1" applyBorder="1" applyAlignment="1">
      <alignment vertical="center" wrapText="1"/>
    </xf>
    <xf numFmtId="14" fontId="3" fillId="9" borderId="13" xfId="0" applyNumberFormat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left" vertical="center"/>
    </xf>
    <xf numFmtId="43" fontId="3" fillId="9" borderId="13" xfId="1" applyFont="1" applyFill="1" applyBorder="1" applyAlignment="1">
      <alignment horizontal="right" vertical="center"/>
    </xf>
    <xf numFmtId="0" fontId="3" fillId="9" borderId="13" xfId="0" applyFont="1" applyFill="1" applyBorder="1" applyAlignment="1">
      <alignment horizontal="right" vertical="center" wrapText="1"/>
    </xf>
    <xf numFmtId="0" fontId="9" fillId="11" borderId="13" xfId="0" applyFont="1" applyFill="1" applyBorder="1" applyAlignment="1">
      <alignment horizontal="left" vertical="center"/>
    </xf>
    <xf numFmtId="0" fontId="0" fillId="0" borderId="1" xfId="0" applyFill="1" applyBorder="1"/>
    <xf numFmtId="0" fontId="2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right" vertical="center" wrapText="1"/>
    </xf>
    <xf numFmtId="4" fontId="3" fillId="8" borderId="5" xfId="0" applyNumberFormat="1" applyFont="1" applyFill="1" applyBorder="1" applyAlignment="1">
      <alignment horizontal="right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4" fontId="3" fillId="8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4" fontId="6" fillId="5" borderId="10" xfId="0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4" fontId="6" fillId="5" borderId="11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4" fontId="10" fillId="11" borderId="10" xfId="0" applyNumberFormat="1" applyFont="1" applyFill="1" applyBorder="1" applyAlignment="1">
      <alignment horizontal="center" vertical="center" wrapText="1"/>
    </xf>
    <xf numFmtId="4" fontId="10" fillId="11" borderId="5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14" fontId="32" fillId="11" borderId="10" xfId="0" applyNumberFormat="1" applyFont="1" applyFill="1" applyBorder="1" applyAlignment="1">
      <alignment horizontal="left" vertical="center" wrapText="1"/>
    </xf>
    <xf numFmtId="14" fontId="32" fillId="11" borderId="5" xfId="0" applyNumberFormat="1" applyFont="1" applyFill="1" applyBorder="1" applyAlignment="1">
      <alignment horizontal="left" vertical="center" wrapText="1"/>
    </xf>
    <xf numFmtId="0" fontId="32" fillId="9" borderId="10" xfId="0" applyFont="1" applyFill="1" applyBorder="1" applyAlignment="1">
      <alignment horizontal="left" vertical="center" wrapText="1"/>
    </xf>
    <xf numFmtId="0" fontId="32" fillId="9" borderId="16" xfId="0" applyFont="1" applyFill="1" applyBorder="1" applyAlignment="1">
      <alignment horizontal="left" vertical="center" wrapText="1"/>
    </xf>
    <xf numFmtId="0" fontId="32" fillId="9" borderId="5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8" borderId="10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32" fillId="8" borderId="10" xfId="0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3" fontId="32" fillId="8" borderId="10" xfId="0" applyNumberFormat="1" applyFont="1" applyFill="1" applyBorder="1" applyAlignment="1">
      <alignment horizontal="right" vertical="center" wrapText="1"/>
    </xf>
    <xf numFmtId="3" fontId="32" fillId="8" borderId="5" xfId="0" applyNumberFormat="1" applyFont="1" applyFill="1" applyBorder="1" applyAlignment="1">
      <alignment horizontal="right" vertical="center" wrapText="1"/>
    </xf>
    <xf numFmtId="43" fontId="32" fillId="11" borderId="10" xfId="1" applyFont="1" applyFill="1" applyBorder="1" applyAlignment="1">
      <alignment horizontal="center" vertical="center" wrapText="1"/>
    </xf>
    <xf numFmtId="43" fontId="32" fillId="11" borderId="5" xfId="1" applyFont="1" applyFill="1" applyBorder="1" applyAlignment="1">
      <alignment horizontal="center" vertical="center" wrapText="1"/>
    </xf>
    <xf numFmtId="4" fontId="32" fillId="11" borderId="10" xfId="0" applyNumberFormat="1" applyFont="1" applyFill="1" applyBorder="1" applyAlignment="1">
      <alignment horizontal="center" vertical="center" wrapText="1"/>
    </xf>
    <xf numFmtId="4" fontId="32" fillId="11" borderId="5" xfId="0" applyNumberFormat="1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right" vertical="center" wrapText="1"/>
    </xf>
    <xf numFmtId="43" fontId="3" fillId="13" borderId="10" xfId="1" applyFont="1" applyFill="1" applyBorder="1" applyAlignment="1">
      <alignment horizontal="right" vertical="center" wrapText="1"/>
    </xf>
    <xf numFmtId="43" fontId="3" fillId="13" borderId="5" xfId="1" applyFont="1" applyFill="1" applyBorder="1" applyAlignment="1">
      <alignment horizontal="right" vertical="center" wrapText="1"/>
    </xf>
    <xf numFmtId="0" fontId="9" fillId="7" borderId="10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43" fontId="3" fillId="7" borderId="10" xfId="1" applyFont="1" applyFill="1" applyBorder="1" applyAlignment="1">
      <alignment horizontal="right" vertical="center" wrapText="1"/>
    </xf>
    <xf numFmtId="43" fontId="3" fillId="7" borderId="5" xfId="1" applyFont="1" applyFill="1" applyBorder="1" applyAlignment="1">
      <alignment horizontal="righ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 vertical="center" wrapText="1"/>
    </xf>
    <xf numFmtId="0" fontId="10" fillId="7" borderId="5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14" fontId="3" fillId="7" borderId="10" xfId="0" applyNumberFormat="1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3" fillId="13" borderId="16" xfId="0" applyFont="1" applyFill="1" applyBorder="1" applyAlignment="1">
      <alignment horizontal="right" vertical="center" wrapText="1"/>
    </xf>
    <xf numFmtId="43" fontId="3" fillId="13" borderId="16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right" vertical="center" wrapText="1"/>
    </xf>
    <xf numFmtId="0" fontId="3" fillId="11" borderId="5" xfId="0" applyFont="1" applyFill="1" applyBorder="1" applyAlignment="1">
      <alignment horizontal="right" vertical="center" wrapText="1"/>
    </xf>
    <xf numFmtId="43" fontId="3" fillId="11" borderId="10" xfId="1" applyFont="1" applyFill="1" applyBorder="1" applyAlignment="1">
      <alignment horizontal="right" vertical="center" wrapText="1"/>
    </xf>
    <xf numFmtId="43" fontId="3" fillId="11" borderId="5" xfId="1" applyFont="1" applyFill="1" applyBorder="1" applyAlignment="1">
      <alignment horizontal="right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43" fontId="3" fillId="13" borderId="10" xfId="1" applyFont="1" applyFill="1" applyBorder="1" applyAlignment="1">
      <alignment horizontal="center" vertical="center" wrapText="1"/>
    </xf>
    <xf numFmtId="43" fontId="3" fillId="13" borderId="5" xfId="1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/>
    </xf>
    <xf numFmtId="0" fontId="9" fillId="12" borderId="16" xfId="0" applyFont="1" applyFill="1" applyBorder="1" applyAlignment="1">
      <alignment horizontal="left" vertical="center"/>
    </xf>
    <xf numFmtId="0" fontId="3" fillId="12" borderId="10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right" vertical="center" wrapText="1"/>
    </xf>
    <xf numFmtId="0" fontId="3" fillId="12" borderId="16" xfId="0" applyFont="1" applyFill="1" applyBorder="1" applyAlignment="1">
      <alignment horizontal="right" vertical="center" wrapText="1"/>
    </xf>
    <xf numFmtId="43" fontId="3" fillId="12" borderId="10" xfId="1" applyFont="1" applyFill="1" applyBorder="1" applyAlignment="1">
      <alignment horizontal="right" vertical="center" wrapText="1"/>
    </xf>
    <xf numFmtId="43" fontId="3" fillId="12" borderId="1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3" fillId="9" borderId="10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top" wrapText="1"/>
    </xf>
    <xf numFmtId="0" fontId="4" fillId="9" borderId="18" xfId="0" applyFont="1" applyFill="1" applyBorder="1" applyAlignment="1">
      <alignment horizontal="left" vertical="top" wrapText="1"/>
    </xf>
    <xf numFmtId="43" fontId="6" fillId="5" borderId="10" xfId="1" applyFont="1" applyFill="1" applyBorder="1" applyAlignment="1">
      <alignment horizontal="center" vertical="center" wrapText="1"/>
    </xf>
    <xf numFmtId="43" fontId="6" fillId="5" borderId="5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3" fontId="3" fillId="11" borderId="10" xfId="1" applyFont="1" applyFill="1" applyBorder="1" applyAlignment="1">
      <alignment horizontal="center" vertical="center" wrapText="1"/>
    </xf>
    <xf numFmtId="43" fontId="3" fillId="11" borderId="16" xfId="1" applyFont="1" applyFill="1" applyBorder="1" applyAlignment="1">
      <alignment horizontal="center" vertical="center" wrapText="1"/>
    </xf>
    <xf numFmtId="43" fontId="3" fillId="11" borderId="5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3" fontId="12" fillId="11" borderId="10" xfId="0" applyNumberFormat="1" applyFont="1" applyFill="1" applyBorder="1" applyAlignment="1">
      <alignment horizontal="left" vertical="center" wrapText="1"/>
    </xf>
    <xf numFmtId="3" fontId="12" fillId="11" borderId="16" xfId="0" applyNumberFormat="1" applyFont="1" applyFill="1" applyBorder="1" applyAlignment="1">
      <alignment horizontal="left" vertical="center" wrapText="1"/>
    </xf>
    <xf numFmtId="3" fontId="12" fillId="11" borderId="5" xfId="0" applyNumberFormat="1" applyFont="1" applyFill="1" applyBorder="1" applyAlignment="1">
      <alignment horizontal="left" vertical="center" wrapText="1"/>
    </xf>
    <xf numFmtId="14" fontId="3" fillId="11" borderId="10" xfId="0" applyNumberFormat="1" applyFont="1" applyFill="1" applyBorder="1" applyAlignment="1">
      <alignment horizontal="right" vertical="center" wrapText="1"/>
    </xf>
    <xf numFmtId="14" fontId="3" fillId="11" borderId="16" xfId="0" applyNumberFormat="1" applyFont="1" applyFill="1" applyBorder="1" applyAlignment="1">
      <alignment horizontal="right" vertical="center" wrapText="1"/>
    </xf>
    <xf numFmtId="14" fontId="3" fillId="11" borderId="5" xfId="0" applyNumberFormat="1" applyFont="1" applyFill="1" applyBorder="1" applyAlignment="1">
      <alignment horizontal="right" vertical="center" wrapText="1"/>
    </xf>
    <xf numFmtId="0" fontId="3" fillId="11" borderId="16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43" fontId="10" fillId="11" borderId="10" xfId="1" applyFont="1" applyFill="1" applyBorder="1" applyAlignment="1">
      <alignment horizontal="center" vertical="center" wrapText="1"/>
    </xf>
    <xf numFmtId="43" fontId="10" fillId="11" borderId="5" xfId="1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12" fillId="11" borderId="10" xfId="1" applyFont="1" applyFill="1" applyBorder="1" applyAlignment="1">
      <alignment horizontal="left" vertical="center" wrapText="1"/>
    </xf>
    <xf numFmtId="43" fontId="12" fillId="11" borderId="5" xfId="1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horizontal="left" vertical="center" wrapText="1"/>
    </xf>
    <xf numFmtId="3" fontId="12" fillId="11" borderId="10" xfId="0" applyNumberFormat="1" applyFont="1" applyFill="1" applyBorder="1" applyAlignment="1">
      <alignment horizontal="center" vertical="center" wrapText="1"/>
    </xf>
    <xf numFmtId="3" fontId="12" fillId="11" borderId="5" xfId="0" applyNumberFormat="1" applyFont="1" applyFill="1" applyBorder="1" applyAlignment="1">
      <alignment horizontal="center" vertical="center" wrapText="1"/>
    </xf>
    <xf numFmtId="43" fontId="12" fillId="11" borderId="10" xfId="1" applyFont="1" applyFill="1" applyBorder="1" applyAlignment="1">
      <alignment horizontal="center" vertical="center" wrapText="1"/>
    </xf>
    <xf numFmtId="43" fontId="12" fillId="11" borderId="5" xfId="1" applyFont="1" applyFill="1" applyBorder="1" applyAlignment="1">
      <alignment horizontal="center" vertical="center" wrapText="1"/>
    </xf>
    <xf numFmtId="3" fontId="12" fillId="11" borderId="10" xfId="0" applyNumberFormat="1" applyFont="1" applyFill="1" applyBorder="1" applyAlignment="1">
      <alignment horizontal="right" vertical="center" wrapText="1"/>
    </xf>
    <xf numFmtId="3" fontId="12" fillId="11" borderId="5" xfId="0" applyNumberFormat="1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A3B0ECAA-2127-4132-99BE-168AAA99C7BB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8"/>
  <sheetViews>
    <sheetView tabSelected="1" zoomScale="90" zoomScaleNormal="90" workbookViewId="0">
      <selection activeCell="I22" sqref="I22"/>
    </sheetView>
  </sheetViews>
  <sheetFormatPr defaultRowHeight="14.5" x14ac:dyDescent="0.35"/>
  <cols>
    <col min="1" max="1" width="20.7265625" customWidth="1"/>
    <col min="2" max="2" width="11.453125" customWidth="1"/>
    <col min="3" max="4" width="15.453125" customWidth="1"/>
    <col min="5" max="5" width="16.26953125" customWidth="1"/>
    <col min="6" max="6" width="15" customWidth="1"/>
    <col min="7" max="7" width="14.26953125" customWidth="1"/>
    <col min="8" max="8" width="15.26953125" customWidth="1"/>
    <col min="9" max="13" width="15.453125" customWidth="1"/>
    <col min="14" max="14" width="16.26953125" customWidth="1"/>
    <col min="15" max="15" width="23" customWidth="1"/>
    <col min="16" max="16" width="17" customWidth="1"/>
    <col min="17" max="17" width="14" customWidth="1"/>
    <col min="18" max="18" width="15.81640625" customWidth="1"/>
  </cols>
  <sheetData>
    <row r="1" spans="1:18" ht="27" customHeight="1" x14ac:dyDescent="0.35">
      <c r="I1" s="72"/>
      <c r="J1" s="72"/>
      <c r="K1" s="72"/>
      <c r="L1" s="72"/>
      <c r="M1" s="72"/>
      <c r="N1" s="436" t="s">
        <v>311</v>
      </c>
      <c r="O1" s="436"/>
      <c r="P1" s="436"/>
      <c r="Q1" s="436"/>
      <c r="R1" s="436"/>
    </row>
    <row r="2" spans="1:18" ht="30" customHeight="1" x14ac:dyDescent="0.35">
      <c r="A2" s="440" t="s">
        <v>312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73"/>
      <c r="P2" s="73"/>
      <c r="Q2" s="436"/>
      <c r="R2" s="436"/>
    </row>
    <row r="3" spans="1:18" x14ac:dyDescent="0.35">
      <c r="C3" s="91"/>
    </row>
    <row r="4" spans="1:18" ht="50.25" customHeight="1" x14ac:dyDescent="0.35">
      <c r="A4" s="3"/>
      <c r="B4" s="437" t="s">
        <v>13</v>
      </c>
      <c r="C4" s="437"/>
      <c r="D4" s="437"/>
      <c r="E4" s="441" t="s">
        <v>16</v>
      </c>
      <c r="F4" s="442"/>
      <c r="G4" s="442"/>
      <c r="H4" s="442"/>
      <c r="I4" s="442"/>
      <c r="J4" s="442"/>
      <c r="K4" s="442"/>
      <c r="L4" s="442"/>
      <c r="M4" s="443"/>
      <c r="N4" s="438" t="s">
        <v>60</v>
      </c>
      <c r="O4" s="438" t="s">
        <v>611</v>
      </c>
      <c r="P4" s="438" t="s">
        <v>610</v>
      </c>
      <c r="Q4" s="438" t="s">
        <v>326</v>
      </c>
      <c r="R4" s="438" t="s">
        <v>327</v>
      </c>
    </row>
    <row r="5" spans="1:18" ht="56.25" customHeight="1" x14ac:dyDescent="0.35">
      <c r="A5" s="4"/>
      <c r="B5" s="10" t="s">
        <v>14</v>
      </c>
      <c r="C5" s="10" t="s">
        <v>9</v>
      </c>
      <c r="D5" s="2" t="s">
        <v>0</v>
      </c>
      <c r="E5" s="8" t="s">
        <v>15</v>
      </c>
      <c r="F5" s="45" t="s">
        <v>199</v>
      </c>
      <c r="G5" s="45" t="s">
        <v>200</v>
      </c>
      <c r="H5" s="45" t="s">
        <v>201</v>
      </c>
      <c r="I5" s="45" t="s">
        <v>202</v>
      </c>
      <c r="J5" s="45" t="s">
        <v>384</v>
      </c>
      <c r="K5" s="45" t="s">
        <v>385</v>
      </c>
      <c r="L5" s="45" t="s">
        <v>386</v>
      </c>
      <c r="M5" s="45" t="s">
        <v>387</v>
      </c>
      <c r="N5" s="439"/>
      <c r="O5" s="439"/>
      <c r="P5" s="439"/>
      <c r="Q5" s="439"/>
      <c r="R5" s="439"/>
    </row>
    <row r="6" spans="1:18" ht="9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4"/>
    </row>
    <row r="7" spans="1:18" x14ac:dyDescent="0.35">
      <c r="A7" s="6"/>
      <c r="B7" s="6"/>
      <c r="C7" s="6"/>
      <c r="D7" s="7">
        <f>SUM(D8:D16)</f>
        <v>4172321</v>
      </c>
      <c r="E7" s="7">
        <f>SUM(E8:E16)</f>
        <v>3829499</v>
      </c>
      <c r="F7" s="7">
        <f>SUM(F8:F15)</f>
        <v>67784.12</v>
      </c>
      <c r="G7" s="7">
        <f>SUM(G8:G15)</f>
        <v>74460.860000000015</v>
      </c>
      <c r="H7" s="7">
        <f>SUM(H8:H15)</f>
        <v>635104.46</v>
      </c>
      <c r="I7" s="7">
        <f>SUM(I8:I16)</f>
        <v>1699032.71</v>
      </c>
      <c r="J7" s="7">
        <f t="shared" ref="J7:M7" si="0">SUM(J8:J16)</f>
        <v>283088.1876</v>
      </c>
      <c r="K7" s="7">
        <f t="shared" si="0"/>
        <v>172525.29</v>
      </c>
      <c r="L7" s="7">
        <f t="shared" si="0"/>
        <v>770175.85000000021</v>
      </c>
      <c r="M7" s="7">
        <f t="shared" si="0"/>
        <v>127016.11</v>
      </c>
      <c r="N7" s="315">
        <f>SUM(N8:N16)</f>
        <v>342822</v>
      </c>
      <c r="O7" s="316">
        <f>O8+O9+O10+O11+O12+O13+O14+O15+O16</f>
        <v>2207338</v>
      </c>
      <c r="P7" s="316">
        <f>ROUNDUP(P8+P9+P10+P11+P12+P13+P14+P15+P16,0)</f>
        <v>1622161</v>
      </c>
      <c r="Q7" s="316">
        <f>Q8+Q9+Q11+Q10+Q12+Q13+Q14+Q15+Q16</f>
        <v>148866.71</v>
      </c>
      <c r="R7" s="316">
        <f>R8+R9+R10+R11+R12+R13+R14+R15+R16</f>
        <v>342822</v>
      </c>
    </row>
    <row r="8" spans="1:18" x14ac:dyDescent="0.35">
      <c r="A8" s="56" t="s">
        <v>1</v>
      </c>
      <c r="B8" s="9" t="s">
        <v>10</v>
      </c>
      <c r="C8" s="9" t="s">
        <v>115</v>
      </c>
      <c r="D8" s="5">
        <f>ROUNDUP(150866.66,0)</f>
        <v>150867</v>
      </c>
      <c r="E8" s="5">
        <f>SUM(F8:M8)</f>
        <v>17457</v>
      </c>
      <c r="F8" s="106">
        <f>Balvi_2!J8</f>
        <v>17457</v>
      </c>
      <c r="G8" s="174" t="s">
        <v>114</v>
      </c>
      <c r="H8" s="174" t="s">
        <v>114</v>
      </c>
      <c r="I8" s="174" t="s">
        <v>114</v>
      </c>
      <c r="J8" s="174" t="s">
        <v>29</v>
      </c>
      <c r="K8" s="174" t="s">
        <v>29</v>
      </c>
      <c r="L8" s="174" t="s">
        <v>29</v>
      </c>
      <c r="M8" s="174" t="s">
        <v>29</v>
      </c>
      <c r="N8" s="317">
        <f t="shared" ref="N8:N16" si="1">D8-E8</f>
        <v>133410</v>
      </c>
      <c r="O8" s="318">
        <f>17457</f>
        <v>17457</v>
      </c>
      <c r="P8" s="323">
        <f>E8-O8</f>
        <v>0</v>
      </c>
      <c r="Q8" s="5">
        <f>Balvi_2!F9+Balvi_2!F10+Balvi_2!F11+Balvi_2!F12+Balvi_2!F13+Balvi_2!F14+Balvi_2!F18</f>
        <v>43249.56</v>
      </c>
      <c r="R8" s="106">
        <f>D8-O8-P8</f>
        <v>133410</v>
      </c>
    </row>
    <row r="9" spans="1:18" s="175" customFormat="1" x14ac:dyDescent="0.35">
      <c r="A9" s="56" t="s">
        <v>2</v>
      </c>
      <c r="B9" s="173" t="s">
        <v>11</v>
      </c>
      <c r="C9" s="173" t="s">
        <v>198</v>
      </c>
      <c r="D9" s="106">
        <v>330816</v>
      </c>
      <c r="E9" s="106">
        <f>SUM(F9:M9)</f>
        <v>330816.00000000006</v>
      </c>
      <c r="F9" s="174" t="s">
        <v>114</v>
      </c>
      <c r="G9" s="174" t="s">
        <v>114</v>
      </c>
      <c r="H9" s="174" t="s">
        <v>114</v>
      </c>
      <c r="I9" s="292">
        <f>'D-Pils_2'!J11+'D-Pils_2'!J12+'D-Pils_2'!J15+'D-Pils_2'!J16+'D-Pils_2'!J19+'D-Pils_2'!J20</f>
        <v>249696.19000000003</v>
      </c>
      <c r="J9" s="292">
        <f>'D-Pils_2'!J9+'D-Pils_2'!J13+'D-Pils_2'!J14+'D-Pils_2'!J17-38573.39</f>
        <v>81119.810000000012</v>
      </c>
      <c r="K9" s="174" t="s">
        <v>29</v>
      </c>
      <c r="L9" s="174" t="s">
        <v>29</v>
      </c>
      <c r="M9" s="174" t="s">
        <v>29</v>
      </c>
      <c r="N9" s="319">
        <f t="shared" si="1"/>
        <v>0</v>
      </c>
      <c r="O9" s="320">
        <v>0</v>
      </c>
      <c r="P9" s="323">
        <f t="shared" ref="P9:P15" si="2">E9-O9</f>
        <v>330816.00000000006</v>
      </c>
      <c r="Q9" s="5"/>
      <c r="R9" s="435">
        <f t="shared" ref="R9:R16" si="3">D9-O9-P9</f>
        <v>0</v>
      </c>
    </row>
    <row r="10" spans="1:18" x14ac:dyDescent="0.35">
      <c r="A10" s="150" t="s">
        <v>3</v>
      </c>
      <c r="B10" s="9" t="s">
        <v>10</v>
      </c>
      <c r="C10" s="9" t="s">
        <v>197</v>
      </c>
      <c r="D10" s="5">
        <f>ROUND(319171.05,0)</f>
        <v>319171</v>
      </c>
      <c r="E10" s="5">
        <f>ROUNDUP(SUM(F10:M10),0)</f>
        <v>263390</v>
      </c>
      <c r="F10" s="106">
        <f>Jēkabp_2!J14+Jēkabp_2!J29+Jēkabp_2!J44+Jēkabp_2!J49+Jēkabp_2!J50</f>
        <v>1420.61</v>
      </c>
      <c r="G10" s="106">
        <f>Jēkabp_2!J11+Jēkabp_2!J22</f>
        <v>9617.93</v>
      </c>
      <c r="H10" s="290">
        <f>Jēkabp_2!J17+Jēkabp_2!J9</f>
        <v>46052.6</v>
      </c>
      <c r="I10" s="106">
        <f>Jēkabp_2!J12+Jēkabp_2!J13+Jēkabp_2!J15+Jēkabp_2!J16+Jēkabp_2!J21+Jēkabp_2!J23+Jēkabp_2!J31+Jēkabp_2!J32+Jēkabp_2!J34+Jēkabp_2!J36+Jēkabp_2!J45+Jēkabp_2!J46+Jēkabp_2!J47</f>
        <v>89881.700000000026</v>
      </c>
      <c r="J10" s="106">
        <f>Jēkabp_2!J24+Jēkabp_2!J25+Jēkabp_2!J28+Jēkabp_2!J33+Jēkabp_2!J35+Jēkabp_2!J37</f>
        <v>84252.37999999999</v>
      </c>
      <c r="K10" s="106">
        <f>Jēkabp_2!J30+Jēkabp_2!J38</f>
        <v>2732.04</v>
      </c>
      <c r="L10" s="106">
        <f>Jēkabp_2!J10+Jēkabp_2!J19</f>
        <v>18602.54</v>
      </c>
      <c r="M10" s="106">
        <f>Jēkabp_2!J26+Jēkabp_2!J27</f>
        <v>10829.5</v>
      </c>
      <c r="N10" s="317">
        <f t="shared" si="1"/>
        <v>55781</v>
      </c>
      <c r="O10" s="322">
        <v>125850</v>
      </c>
      <c r="P10" s="324">
        <f t="shared" si="2"/>
        <v>137540</v>
      </c>
      <c r="Q10" s="5">
        <f>Jēkabp_2!J39+Jēkabp_2!J40+Jēkabp_2!J41+Jēkabp_2!J42+Jēkabp_2!J43+Jēkabp_2!J48</f>
        <v>3925.89</v>
      </c>
      <c r="R10" s="106">
        <f t="shared" si="3"/>
        <v>55781</v>
      </c>
    </row>
    <row r="11" spans="1:18" x14ac:dyDescent="0.35">
      <c r="A11" s="56" t="s">
        <v>4</v>
      </c>
      <c r="B11" s="9" t="s">
        <v>10</v>
      </c>
      <c r="C11" s="9" t="s">
        <v>183</v>
      </c>
      <c r="D11" s="5">
        <f>ROUNDUP(256323.98,0)</f>
        <v>256324</v>
      </c>
      <c r="E11" s="5">
        <f t="shared" ref="E11" si="4">SUM(F11:M11)</f>
        <v>256324</v>
      </c>
      <c r="F11" s="174" t="s">
        <v>114</v>
      </c>
      <c r="G11" s="174" t="s">
        <v>114</v>
      </c>
      <c r="H11" s="290">
        <f>Jelgava_2!J10+Jelgava_2!J11+Jelgava_2!J12+Jelgava_2!J14+Jelgava_2!J15+Jelgava_2!J16+Jelgava_2!J17+Jelgava_2!J19+Jelgava_2!J20+Jelgava_2!J21</f>
        <v>156485.67000000001</v>
      </c>
      <c r="I11" s="290">
        <f>Jelgava_2!J13+Jelgava_2!J22+Jelgava_2!J23+Jelgava_2!J24-9133.06</f>
        <v>99838.33</v>
      </c>
      <c r="J11" s="174" t="s">
        <v>29</v>
      </c>
      <c r="K11" s="174" t="s">
        <v>29</v>
      </c>
      <c r="L11" s="174" t="s">
        <v>29</v>
      </c>
      <c r="M11" s="174" t="s">
        <v>29</v>
      </c>
      <c r="N11" s="317">
        <f t="shared" si="1"/>
        <v>0</v>
      </c>
      <c r="O11" s="318">
        <v>256324</v>
      </c>
      <c r="P11" s="323">
        <f t="shared" si="2"/>
        <v>0</v>
      </c>
      <c r="Q11" s="5"/>
      <c r="R11" s="106">
        <f t="shared" si="3"/>
        <v>0</v>
      </c>
    </row>
    <row r="12" spans="1:18" s="175" customFormat="1" x14ac:dyDescent="0.35">
      <c r="A12" s="56" t="s">
        <v>5</v>
      </c>
      <c r="B12" s="173" t="s">
        <v>11</v>
      </c>
      <c r="C12" s="173" t="s">
        <v>124</v>
      </c>
      <c r="D12" s="106">
        <f>ROUNDDOWN(127113.56,0)</f>
        <v>127113</v>
      </c>
      <c r="E12" s="106">
        <f>ROUNDUP(SUM(F12:M12),0)</f>
        <v>68231</v>
      </c>
      <c r="F12" s="106">
        <f>Liepāja_2!J16+Liepāja_2!J17</f>
        <v>41743.79</v>
      </c>
      <c r="G12" s="106">
        <f>Liepāja_2!J13+Liepāja_2!J18</f>
        <v>18065.3</v>
      </c>
      <c r="H12" s="106">
        <f>Liepāja_2!J12</f>
        <v>8421.6</v>
      </c>
      <c r="I12" s="174" t="s">
        <v>114</v>
      </c>
      <c r="J12" s="174" t="s">
        <v>29</v>
      </c>
      <c r="K12" s="174" t="s">
        <v>29</v>
      </c>
      <c r="L12" s="174" t="s">
        <v>29</v>
      </c>
      <c r="M12" s="174" t="s">
        <v>29</v>
      </c>
      <c r="N12" s="319">
        <f>D12-E12</f>
        <v>58882</v>
      </c>
      <c r="O12" s="320">
        <v>68231</v>
      </c>
      <c r="P12" s="323">
        <f>E12-O12</f>
        <v>0</v>
      </c>
      <c r="Q12" s="5">
        <f>Liepāja_2!J9+Liepāja_2!J10+Liepāja_2!J11+Liepāja_2!J14</f>
        <v>71167.360000000001</v>
      </c>
      <c r="R12" s="106">
        <f>D12-O12-P12</f>
        <v>58882</v>
      </c>
    </row>
    <row r="13" spans="1:18" x14ac:dyDescent="0.35">
      <c r="A13" s="56" t="s">
        <v>6</v>
      </c>
      <c r="B13" s="9" t="s">
        <v>12</v>
      </c>
      <c r="C13" s="9" t="s">
        <v>146</v>
      </c>
      <c r="D13" s="5">
        <v>2411290</v>
      </c>
      <c r="E13" s="5">
        <f>ROUNDUP(SUM(F13:M13),0)</f>
        <v>2381502</v>
      </c>
      <c r="F13" s="174" t="s">
        <v>114</v>
      </c>
      <c r="G13" s="106">
        <f>Rēz_2!J10+Rēz_2!J19</f>
        <v>20006.620000000003</v>
      </c>
      <c r="H13" s="106">
        <f>Rēz_2!J17+Rēz_2!J29+Rēz_2!J32+Rēz_2!J34</f>
        <v>320298.86</v>
      </c>
      <c r="I13" s="106">
        <f>Rēz_2!J8+Rēz_2!J11+Rēz_2!J13+Rēz_2!J15+Rēz_2!J16+Rēz_2!J18+Rēz_2!J20+Rēz_2!J23+Rēz_2!J24+Rēz_2!J25+Rēz_2!J30+Rēz_2!J33+Rēz_2!J35+Rēz_2!J41+Rēz_2!J42</f>
        <v>1037826.9199999999</v>
      </c>
      <c r="J13" s="106">
        <f>Rēz_2!J12+Rēz_2!J27+Rēz_2!J28</f>
        <v>48779.25</v>
      </c>
      <c r="K13" s="106">
        <f>Rēz_2!J26+Rēz_2!J31</f>
        <v>168311</v>
      </c>
      <c r="L13" s="106">
        <f>Rēz_2!J9+Rēz_2!J14+Rēz_2!J37+Rēz_2!J38</f>
        <v>671205.1100000001</v>
      </c>
      <c r="M13" s="106">
        <f>Rēz_2!J22+Rēz_2!J36+Rēz_2!J39+Rēz_2!J40</f>
        <v>115073.41</v>
      </c>
      <c r="N13" s="317">
        <f t="shared" si="1"/>
        <v>29788</v>
      </c>
      <c r="O13" s="318">
        <v>1378133</v>
      </c>
      <c r="P13" s="323">
        <f t="shared" si="2"/>
        <v>1003369</v>
      </c>
      <c r="Q13" s="5"/>
      <c r="R13" s="106">
        <f>D13-O13-P13</f>
        <v>29788</v>
      </c>
    </row>
    <row r="14" spans="1:18" s="175" customFormat="1" x14ac:dyDescent="0.35">
      <c r="A14" s="56" t="s">
        <v>7</v>
      </c>
      <c r="B14" s="173" t="s">
        <v>12</v>
      </c>
      <c r="C14" s="173" t="s">
        <v>116</v>
      </c>
      <c r="D14" s="106">
        <f>ROUNDUP(67509.67,0)</f>
        <v>67510</v>
      </c>
      <c r="E14" s="106">
        <f>ROUNDUP(SUM(F14:M14),0)</f>
        <v>27844</v>
      </c>
      <c r="F14" s="106">
        <f>Vidz_2!J25+Vidz_2!J35</f>
        <v>7162.72</v>
      </c>
      <c r="G14" s="106">
        <f>Vidz_2!J26</f>
        <v>6829</v>
      </c>
      <c r="H14" s="174" t="s">
        <v>114</v>
      </c>
      <c r="I14" s="106">
        <f>Vidz_2!J36</f>
        <v>10633.48</v>
      </c>
      <c r="J14" s="174" t="s">
        <v>29</v>
      </c>
      <c r="K14" s="174" t="s">
        <v>29</v>
      </c>
      <c r="L14" s="106">
        <f>Vidz_2!J10</f>
        <v>2105.4</v>
      </c>
      <c r="M14" s="106">
        <f>Vidz_2!J30</f>
        <v>1113.2</v>
      </c>
      <c r="N14" s="319">
        <f>D14-E14</f>
        <v>39666</v>
      </c>
      <c r="O14" s="320">
        <v>25251</v>
      </c>
      <c r="P14" s="323">
        <f>E14-O14</f>
        <v>2593</v>
      </c>
      <c r="Q14" s="5">
        <f>Vidz_2!J9+Vidz_2!J11+Vidz_2!J12+Vidz_2!J13++Vidz_2!J15+Vidz_2!J16+Vidz_2!J17+Vidz_2!J18+Vidz_2!J19+Vidz_2!J20+Vidz_2!J21+Vidz_2!J22+Vidz_2!J23+Vidz_2!J24+Vidz_2!J27+Vidz_2!J28+Vidz_2!J29+Vidz_2!J31+Vidz_2!J32+Vidz_2!J33</f>
        <v>30523.899999999998</v>
      </c>
      <c r="R14" s="106">
        <f>D14-O14-P14</f>
        <v>39666</v>
      </c>
    </row>
    <row r="15" spans="1:18" s="175" customFormat="1" x14ac:dyDescent="0.35">
      <c r="A15" s="56" t="s">
        <v>8</v>
      </c>
      <c r="B15" s="173" t="s">
        <v>10</v>
      </c>
      <c r="C15" s="173" t="s">
        <v>123</v>
      </c>
      <c r="D15" s="106">
        <f>ROUND(359229.5,0)</f>
        <v>359230</v>
      </c>
      <c r="E15" s="106">
        <f>ROUNDUP(SUM(F15:M15),0)</f>
        <v>335994</v>
      </c>
      <c r="F15" s="174" t="s">
        <v>114</v>
      </c>
      <c r="G15" s="106">
        <f>'Z-Kurz_2'!J9+'Z-Kurz_2'!J10+'Z-Kurz_2'!J18+'Z-Kurz_2'!J24+'Z-Kurz_2'!J25</f>
        <v>19942.010000000002</v>
      </c>
      <c r="H15" s="106">
        <f>'Z-Kurz_2'!J11+'Z-Kurz_2'!J13+'Z-Kurz_2'!J19+'Z-Kurz_2'!J20+'Z-Kurz_2'!J22+'Z-Kurz_2'!J26+'Z-Kurz_2'!J27+'Z-Kurz_2'!J30+'Z-Kurz_2'!J31+'Z-Kurz_2'!J36+'Z-Kurz_2'!J37+'Z-Kurz_2'!J38</f>
        <v>103845.73</v>
      </c>
      <c r="I15" s="106">
        <f>'Z-Kurz_2'!J12+'Z-Kurz_2'!J15+'Z-Kurz_2'!J16+'Z-Kurz_2'!J17+'Z-Kurz_2'!J21+'Z-Kurz_2'!J23+'Z-Kurz_2'!J28+'Z-Kurz_2'!J29+'Z-Kurz_2'!J32+'Z-Kurz_2'!J33+'Z-Kurz_2'!J34+'Z-Kurz_2'!J39+'Z-Kurz_2'!J41</f>
        <v>211156.08999999997</v>
      </c>
      <c r="J15" s="106">
        <f>'Z-Kurz_2'!J35+'Z-Kurz_2'!J40</f>
        <v>1049.6976</v>
      </c>
      <c r="K15" s="174" t="s">
        <v>29</v>
      </c>
      <c r="L15" s="174" t="s">
        <v>29</v>
      </c>
      <c r="M15" s="174" t="s">
        <v>29</v>
      </c>
      <c r="N15" s="319">
        <f t="shared" si="1"/>
        <v>23236</v>
      </c>
      <c r="O15" s="320">
        <v>335784</v>
      </c>
      <c r="P15" s="323">
        <f t="shared" si="2"/>
        <v>210</v>
      </c>
      <c r="Q15" s="5"/>
      <c r="R15" s="106">
        <f>D15-O15-P15</f>
        <v>23236</v>
      </c>
    </row>
    <row r="16" spans="1:18" ht="29" x14ac:dyDescent="0.35">
      <c r="A16" s="293" t="s">
        <v>308</v>
      </c>
      <c r="D16" s="5">
        <f>500*300</f>
        <v>150000</v>
      </c>
      <c r="E16" s="5">
        <f>ROUNDUP(SUM(F16:M16),0)</f>
        <v>147941</v>
      </c>
      <c r="F16" s="291">
        <f>Balvi_2!J24+Balvi_2!J25</f>
        <v>308</v>
      </c>
      <c r="G16" s="174" t="s">
        <v>29</v>
      </c>
      <c r="H16" s="174" t="s">
        <v>29</v>
      </c>
      <c r="I16" s="174" t="s">
        <v>29</v>
      </c>
      <c r="J16" s="174">
        <f>Plansetes_2!H30+Plansetes_2!M9+Plansetes_2!M10+Plansetes_2!M12+Plansetes_2!M14+Plansetes_2!M15+Plansetes_2!M22+Plansetes_2!M27</f>
        <v>67887.049999999988</v>
      </c>
      <c r="K16" s="174">
        <f>Plansetes_2!M11</f>
        <v>1482.25</v>
      </c>
      <c r="L16" s="174">
        <f>Plansetes_2!M7+Plansetes_2!M19+Plansetes_2!M20+Plansetes_2!M28</f>
        <v>78262.8</v>
      </c>
      <c r="M16" s="174" t="s">
        <v>29</v>
      </c>
      <c r="N16" s="317">
        <f t="shared" si="1"/>
        <v>2059</v>
      </c>
      <c r="O16" s="318">
        <v>308</v>
      </c>
      <c r="P16" s="323">
        <f>E16-O16</f>
        <v>147633</v>
      </c>
      <c r="Q16" s="5"/>
      <c r="R16" s="106">
        <f t="shared" si="3"/>
        <v>2059</v>
      </c>
    </row>
    <row r="17" spans="1:18" x14ac:dyDescent="0.35">
      <c r="A17" s="1"/>
      <c r="B17" s="1"/>
      <c r="C17" s="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75"/>
      <c r="P17" s="75"/>
    </row>
    <row r="18" spans="1:18" x14ac:dyDescent="0.35">
      <c r="D18" s="91"/>
      <c r="F18" s="57"/>
      <c r="G18" s="57"/>
      <c r="R18" s="108"/>
    </row>
  </sheetData>
  <mergeCells count="10">
    <mergeCell ref="N1:R1"/>
    <mergeCell ref="Q2:R2"/>
    <mergeCell ref="B4:D4"/>
    <mergeCell ref="N4:N5"/>
    <mergeCell ref="A2:N2"/>
    <mergeCell ref="O4:O5"/>
    <mergeCell ref="Q4:Q5"/>
    <mergeCell ref="R4:R5"/>
    <mergeCell ref="E4:M4"/>
    <mergeCell ref="P4:P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7ED8-A7E6-49B5-B5E5-0E6E90D42D5B}">
  <sheetPr>
    <pageSetUpPr fitToPage="1"/>
  </sheetPr>
  <dimension ref="A2:O33"/>
  <sheetViews>
    <sheetView topLeftCell="A2" zoomScale="90" zoomScaleNormal="90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B31" sqref="B31"/>
    </sheetView>
  </sheetViews>
  <sheetFormatPr defaultRowHeight="15.5" x14ac:dyDescent="0.35"/>
  <cols>
    <col min="1" max="1" width="8.54296875" customWidth="1"/>
    <col min="2" max="2" width="52.26953125" customWidth="1"/>
    <col min="3" max="3" width="12" style="107" customWidth="1"/>
    <col min="4" max="4" width="19.453125" customWidth="1"/>
    <col min="5" max="5" width="11.54296875" customWidth="1"/>
    <col min="6" max="6" width="12.54296875" customWidth="1"/>
    <col min="7" max="7" width="14.1796875" customWidth="1"/>
    <col min="8" max="8" width="13.26953125" customWidth="1"/>
    <col min="9" max="9" width="14.1796875" customWidth="1"/>
    <col min="10" max="13" width="13.26953125" customWidth="1"/>
    <col min="14" max="14" width="17" customWidth="1"/>
    <col min="15" max="15" width="11.453125" customWidth="1"/>
  </cols>
  <sheetData>
    <row r="2" spans="1:15" ht="47.25" customHeight="1" x14ac:dyDescent="0.35">
      <c r="A2" s="440" t="s">
        <v>454</v>
      </c>
      <c r="B2" s="440"/>
      <c r="C2" s="440"/>
    </row>
    <row r="3" spans="1:15" ht="47.25" customHeight="1" x14ac:dyDescent="0.35">
      <c r="A3" s="617" t="s">
        <v>453</v>
      </c>
      <c r="B3" s="617" t="s">
        <v>382</v>
      </c>
      <c r="C3" s="618" t="s">
        <v>452</v>
      </c>
      <c r="D3" s="133" t="s">
        <v>451</v>
      </c>
      <c r="E3" s="615" t="s">
        <v>450</v>
      </c>
      <c r="F3" s="615"/>
      <c r="G3" s="615"/>
      <c r="H3" s="615"/>
      <c r="I3" s="615"/>
      <c r="J3" s="614" t="s">
        <v>449</v>
      </c>
      <c r="K3" s="614"/>
      <c r="L3" s="614"/>
      <c r="M3" s="614"/>
      <c r="N3" s="614"/>
      <c r="O3" s="243" t="s">
        <v>455</v>
      </c>
    </row>
    <row r="4" spans="1:15" ht="29.25" customHeight="1" x14ac:dyDescent="0.35">
      <c r="A4" s="617"/>
      <c r="B4" s="617"/>
      <c r="C4" s="618"/>
      <c r="D4" s="616">
        <v>296.45</v>
      </c>
      <c r="E4" s="613" t="s">
        <v>448</v>
      </c>
      <c r="F4" s="613"/>
      <c r="G4" s="613" t="s">
        <v>447</v>
      </c>
      <c r="H4" s="613" t="s">
        <v>446</v>
      </c>
      <c r="I4" s="613" t="s">
        <v>445</v>
      </c>
      <c r="J4" s="613" t="s">
        <v>448</v>
      </c>
      <c r="K4" s="613"/>
      <c r="L4" s="613" t="s">
        <v>447</v>
      </c>
      <c r="M4" s="613" t="s">
        <v>446</v>
      </c>
      <c r="N4" s="613" t="s">
        <v>445</v>
      </c>
      <c r="O4" s="63"/>
    </row>
    <row r="5" spans="1:15" ht="17.25" customHeight="1" x14ac:dyDescent="0.35">
      <c r="A5" s="617"/>
      <c r="B5" s="617"/>
      <c r="C5" s="618"/>
      <c r="D5" s="616"/>
      <c r="E5" s="132" t="s">
        <v>25</v>
      </c>
      <c r="F5" s="131" t="s">
        <v>444</v>
      </c>
      <c r="G5" s="613"/>
      <c r="H5" s="613"/>
      <c r="I5" s="613"/>
      <c r="J5" s="132" t="s">
        <v>25</v>
      </c>
      <c r="K5" s="131" t="s">
        <v>444</v>
      </c>
      <c r="L5" s="613"/>
      <c r="M5" s="613"/>
      <c r="N5" s="613"/>
      <c r="O5" s="63"/>
    </row>
    <row r="6" spans="1:15" x14ac:dyDescent="0.35">
      <c r="A6" s="122">
        <v>1</v>
      </c>
      <c r="B6" s="122" t="s">
        <v>443</v>
      </c>
      <c r="C6" s="125">
        <v>5</v>
      </c>
      <c r="D6" s="114">
        <f t="shared" ref="D6:D29" si="0">C6*$D$4</f>
        <v>1482.25</v>
      </c>
      <c r="E6" s="130" t="s">
        <v>351</v>
      </c>
      <c r="F6" s="130" t="s">
        <v>442</v>
      </c>
      <c r="G6" s="129">
        <v>1225</v>
      </c>
      <c r="H6" s="117">
        <f>G6*1.21</f>
        <v>1482.25</v>
      </c>
      <c r="I6" s="117" t="s">
        <v>389</v>
      </c>
      <c r="J6" s="122"/>
      <c r="K6" s="122"/>
      <c r="L6" s="128"/>
      <c r="M6" s="115"/>
      <c r="N6" s="115"/>
      <c r="O6" s="63"/>
    </row>
    <row r="7" spans="1:15" x14ac:dyDescent="0.35">
      <c r="A7" s="122">
        <v>2</v>
      </c>
      <c r="B7" s="122" t="s">
        <v>441</v>
      </c>
      <c r="C7" s="125">
        <v>137</v>
      </c>
      <c r="D7" s="114">
        <f t="shared" si="0"/>
        <v>40613.65</v>
      </c>
      <c r="E7" s="124"/>
      <c r="F7" s="124"/>
      <c r="G7" s="124"/>
      <c r="H7" s="124"/>
      <c r="I7" s="124"/>
      <c r="J7" s="123" t="s">
        <v>440</v>
      </c>
      <c r="K7" s="123" t="s">
        <v>439</v>
      </c>
      <c r="L7" s="123">
        <v>33565</v>
      </c>
      <c r="M7" s="120">
        <f>L7*1.21</f>
        <v>40613.65</v>
      </c>
      <c r="N7" s="120" t="s">
        <v>389</v>
      </c>
      <c r="O7" s="63"/>
    </row>
    <row r="8" spans="1:15" x14ac:dyDescent="0.35">
      <c r="A8" s="115">
        <v>3</v>
      </c>
      <c r="B8" s="122" t="s">
        <v>438</v>
      </c>
      <c r="C8" s="119">
        <f>13-2</f>
        <v>11</v>
      </c>
      <c r="D8" s="114">
        <f t="shared" si="0"/>
        <v>3260.95</v>
      </c>
      <c r="E8" s="117" t="s">
        <v>351</v>
      </c>
      <c r="F8" s="117" t="s">
        <v>437</v>
      </c>
      <c r="G8" s="127">
        <v>2695</v>
      </c>
      <c r="H8" s="117">
        <f>G8*1.21</f>
        <v>3260.95</v>
      </c>
      <c r="I8" s="117" t="s">
        <v>389</v>
      </c>
      <c r="J8" s="115"/>
      <c r="K8" s="115"/>
      <c r="L8" s="126"/>
      <c r="M8" s="115"/>
      <c r="N8" s="115"/>
      <c r="O8" s="63"/>
    </row>
    <row r="9" spans="1:15" x14ac:dyDescent="0.35">
      <c r="A9" s="115">
        <v>4</v>
      </c>
      <c r="B9" s="122" t="s">
        <v>436</v>
      </c>
      <c r="C9" s="119">
        <v>8</v>
      </c>
      <c r="D9" s="114">
        <f t="shared" si="0"/>
        <v>2371.6</v>
      </c>
      <c r="E9" s="121"/>
      <c r="F9" s="121"/>
      <c r="G9" s="121"/>
      <c r="H9" s="121"/>
      <c r="I9" s="121"/>
      <c r="J9" s="120" t="s">
        <v>351</v>
      </c>
      <c r="K9" s="120" t="s">
        <v>435</v>
      </c>
      <c r="L9" s="120">
        <v>1960</v>
      </c>
      <c r="M9" s="120">
        <f>L9*1.21</f>
        <v>2371.6</v>
      </c>
      <c r="N9" s="120" t="s">
        <v>389</v>
      </c>
      <c r="O9" s="63"/>
    </row>
    <row r="10" spans="1:15" x14ac:dyDescent="0.35">
      <c r="A10" s="115">
        <v>5</v>
      </c>
      <c r="B10" s="115" t="s">
        <v>434</v>
      </c>
      <c r="C10" s="119">
        <v>2</v>
      </c>
      <c r="D10" s="114">
        <f t="shared" si="0"/>
        <v>592.9</v>
      </c>
      <c r="E10" s="121"/>
      <c r="F10" s="121"/>
      <c r="G10" s="121"/>
      <c r="H10" s="121"/>
      <c r="I10" s="121"/>
      <c r="J10" s="120" t="s">
        <v>351</v>
      </c>
      <c r="K10" s="120" t="s">
        <v>433</v>
      </c>
      <c r="L10" s="120">
        <v>490</v>
      </c>
      <c r="M10" s="120">
        <f>L10*1.21</f>
        <v>592.9</v>
      </c>
      <c r="N10" s="120" t="s">
        <v>389</v>
      </c>
      <c r="O10" s="63"/>
    </row>
    <row r="11" spans="1:15" x14ac:dyDescent="0.35">
      <c r="A11" s="115">
        <v>6</v>
      </c>
      <c r="B11" s="115" t="s">
        <v>432</v>
      </c>
      <c r="C11" s="119">
        <v>5</v>
      </c>
      <c r="D11" s="114">
        <f t="shared" si="0"/>
        <v>1482.25</v>
      </c>
      <c r="E11" s="121"/>
      <c r="F11" s="121"/>
      <c r="G11" s="121"/>
      <c r="H11" s="121"/>
      <c r="I11" s="121"/>
      <c r="J11" s="120" t="s">
        <v>431</v>
      </c>
      <c r="K11" s="120" t="s">
        <v>430</v>
      </c>
      <c r="L11" s="120">
        <v>1225</v>
      </c>
      <c r="M11" s="120">
        <f>L11*1.21</f>
        <v>1482.25</v>
      </c>
      <c r="N11" s="120" t="s">
        <v>389</v>
      </c>
      <c r="O11" s="63"/>
    </row>
    <row r="12" spans="1:15" x14ac:dyDescent="0.35">
      <c r="A12" s="115">
        <v>7</v>
      </c>
      <c r="B12" s="115" t="s">
        <v>429</v>
      </c>
      <c r="C12" s="119">
        <v>41</v>
      </c>
      <c r="D12" s="114">
        <f t="shared" si="0"/>
        <v>12154.449999999999</v>
      </c>
      <c r="E12" s="121"/>
      <c r="F12" s="121"/>
      <c r="G12" s="121"/>
      <c r="H12" s="121"/>
      <c r="I12" s="121"/>
      <c r="J12" s="120" t="s">
        <v>401</v>
      </c>
      <c r="K12" s="120" t="s">
        <v>428</v>
      </c>
      <c r="L12" s="120">
        <v>10045</v>
      </c>
      <c r="M12" s="120">
        <f>L12*1.21</f>
        <v>12154.449999999999</v>
      </c>
      <c r="N12" s="120" t="s">
        <v>389</v>
      </c>
      <c r="O12" s="63"/>
    </row>
    <row r="13" spans="1:15" x14ac:dyDescent="0.35">
      <c r="A13" s="115">
        <v>8</v>
      </c>
      <c r="B13" s="115" t="s">
        <v>427</v>
      </c>
      <c r="C13" s="119">
        <v>10</v>
      </c>
      <c r="D13" s="114">
        <f t="shared" si="0"/>
        <v>2964.5</v>
      </c>
      <c r="E13" s="117" t="s">
        <v>401</v>
      </c>
      <c r="F13" s="117" t="s">
        <v>426</v>
      </c>
      <c r="G13" s="117">
        <v>2450</v>
      </c>
      <c r="H13" s="117">
        <f>G13*1.21</f>
        <v>2964.5</v>
      </c>
      <c r="I13" s="117" t="s">
        <v>389</v>
      </c>
      <c r="J13" s="115"/>
      <c r="K13" s="115"/>
      <c r="L13" s="115"/>
      <c r="M13" s="115"/>
      <c r="N13" s="115"/>
      <c r="O13" s="63"/>
    </row>
    <row r="14" spans="1:15" x14ac:dyDescent="0.35">
      <c r="A14" s="115">
        <v>9</v>
      </c>
      <c r="B14" s="115" t="s">
        <v>425</v>
      </c>
      <c r="C14" s="119">
        <v>24</v>
      </c>
      <c r="D14" s="114">
        <f t="shared" si="0"/>
        <v>7114.7999999999993</v>
      </c>
      <c r="E14" s="121"/>
      <c r="F14" s="121"/>
      <c r="G14" s="121"/>
      <c r="H14" s="121"/>
      <c r="I14" s="121"/>
      <c r="J14" s="120" t="s">
        <v>401</v>
      </c>
      <c r="K14" s="120" t="s">
        <v>424</v>
      </c>
      <c r="L14" s="120">
        <v>5880</v>
      </c>
      <c r="M14" s="120">
        <f>L14*1.21</f>
        <v>7114.8</v>
      </c>
      <c r="N14" s="120" t="s">
        <v>389</v>
      </c>
      <c r="O14" s="63"/>
    </row>
    <row r="15" spans="1:15" x14ac:dyDescent="0.35">
      <c r="A15" s="115">
        <v>10</v>
      </c>
      <c r="B15" s="115" t="s">
        <v>423</v>
      </c>
      <c r="C15" s="119">
        <v>25</v>
      </c>
      <c r="D15" s="114">
        <f t="shared" si="0"/>
        <v>7411.25</v>
      </c>
      <c r="E15" s="121"/>
      <c r="F15" s="121"/>
      <c r="G15" s="121"/>
      <c r="H15" s="121"/>
      <c r="I15" s="121"/>
      <c r="J15" s="120" t="s">
        <v>396</v>
      </c>
      <c r="K15" s="120" t="s">
        <v>422</v>
      </c>
      <c r="L15" s="120">
        <v>6125</v>
      </c>
      <c r="M15" s="120">
        <f>L15*1.21</f>
        <v>7411.25</v>
      </c>
      <c r="N15" s="120" t="s">
        <v>389</v>
      </c>
      <c r="O15" s="63"/>
    </row>
    <row r="16" spans="1:15" x14ac:dyDescent="0.35">
      <c r="A16" s="115">
        <v>11</v>
      </c>
      <c r="B16" s="115" t="s">
        <v>421</v>
      </c>
      <c r="C16" s="119">
        <v>5</v>
      </c>
      <c r="D16" s="114">
        <f t="shared" si="0"/>
        <v>1482.25</v>
      </c>
      <c r="E16" s="117" t="s">
        <v>351</v>
      </c>
      <c r="F16" s="117" t="s">
        <v>420</v>
      </c>
      <c r="G16" s="117">
        <v>1225</v>
      </c>
      <c r="H16" s="117">
        <f>G16*1.21</f>
        <v>1482.25</v>
      </c>
      <c r="I16" s="117" t="s">
        <v>389</v>
      </c>
      <c r="J16" s="115"/>
      <c r="K16" s="115"/>
      <c r="L16" s="115"/>
      <c r="M16" s="115"/>
      <c r="N16" s="115"/>
      <c r="O16" s="63"/>
    </row>
    <row r="17" spans="1:15" x14ac:dyDescent="0.35">
      <c r="A17" s="115">
        <v>12</v>
      </c>
      <c r="B17" s="115" t="s">
        <v>419</v>
      </c>
      <c r="C17" s="119">
        <v>12</v>
      </c>
      <c r="D17" s="114">
        <f t="shared" si="0"/>
        <v>3557.3999999999996</v>
      </c>
      <c r="E17" s="117" t="s">
        <v>396</v>
      </c>
      <c r="F17" s="117" t="s">
        <v>418</v>
      </c>
      <c r="G17" s="117">
        <v>2940</v>
      </c>
      <c r="H17" s="117">
        <v>3557.4</v>
      </c>
      <c r="I17" s="117" t="s">
        <v>389</v>
      </c>
      <c r="J17" s="115"/>
      <c r="K17" s="115"/>
      <c r="L17" s="115"/>
      <c r="M17" s="115"/>
      <c r="N17" s="115"/>
      <c r="O17" s="63"/>
    </row>
    <row r="18" spans="1:15" x14ac:dyDescent="0.35">
      <c r="A18" s="115">
        <v>13</v>
      </c>
      <c r="B18" s="115" t="s">
        <v>417</v>
      </c>
      <c r="C18" s="119">
        <v>13</v>
      </c>
      <c r="D18" s="114">
        <f t="shared" si="0"/>
        <v>3853.85</v>
      </c>
      <c r="E18" s="117" t="s">
        <v>401</v>
      </c>
      <c r="F18" s="117" t="s">
        <v>416</v>
      </c>
      <c r="G18" s="117">
        <v>3185</v>
      </c>
      <c r="H18" s="117">
        <v>3853.85</v>
      </c>
      <c r="I18" s="117"/>
      <c r="J18" s="115"/>
      <c r="K18" s="115"/>
      <c r="L18" s="115"/>
      <c r="M18" s="115"/>
      <c r="N18" s="115"/>
      <c r="O18" s="63"/>
    </row>
    <row r="19" spans="1:15" x14ac:dyDescent="0.35">
      <c r="A19" s="122">
        <v>14</v>
      </c>
      <c r="B19" s="122" t="s">
        <v>415</v>
      </c>
      <c r="C19" s="125">
        <v>32</v>
      </c>
      <c r="D19" s="114">
        <f t="shared" si="0"/>
        <v>9486.4</v>
      </c>
      <c r="E19" s="124"/>
      <c r="F19" s="124"/>
      <c r="G19" s="124"/>
      <c r="H19" s="124"/>
      <c r="I19" s="124"/>
      <c r="J19" s="123" t="s">
        <v>393</v>
      </c>
      <c r="K19" s="123" t="s">
        <v>414</v>
      </c>
      <c r="L19" s="123">
        <v>7840</v>
      </c>
      <c r="M19" s="120">
        <f>L19*1.21</f>
        <v>9486.4</v>
      </c>
      <c r="N19" s="120" t="s">
        <v>389</v>
      </c>
      <c r="O19" s="63"/>
    </row>
    <row r="20" spans="1:15" x14ac:dyDescent="0.35">
      <c r="A20" s="115">
        <v>15</v>
      </c>
      <c r="B20" s="122" t="s">
        <v>413</v>
      </c>
      <c r="C20" s="119">
        <v>61</v>
      </c>
      <c r="D20" s="114">
        <f t="shared" si="0"/>
        <v>18083.45</v>
      </c>
      <c r="E20" s="121"/>
      <c r="F20" s="121"/>
      <c r="G20" s="121"/>
      <c r="H20" s="121"/>
      <c r="I20" s="121"/>
      <c r="J20" s="120" t="s">
        <v>393</v>
      </c>
      <c r="K20" s="120" t="s">
        <v>412</v>
      </c>
      <c r="L20" s="120">
        <v>14945</v>
      </c>
      <c r="M20" s="120">
        <f>L20*1.21</f>
        <v>18083.45</v>
      </c>
      <c r="N20" s="120" t="s">
        <v>389</v>
      </c>
      <c r="O20" s="63"/>
    </row>
    <row r="21" spans="1:15" x14ac:dyDescent="0.35">
      <c r="A21" s="115">
        <v>16</v>
      </c>
      <c r="B21" s="115" t="s">
        <v>411</v>
      </c>
      <c r="C21" s="119">
        <v>3</v>
      </c>
      <c r="D21" s="114">
        <f t="shared" si="0"/>
        <v>889.34999999999991</v>
      </c>
      <c r="E21" s="117" t="s">
        <v>401</v>
      </c>
      <c r="F21" s="117" t="s">
        <v>410</v>
      </c>
      <c r="G21" s="118">
        <v>735</v>
      </c>
      <c r="H21" s="117">
        <f>G21*1.21</f>
        <v>889.35</v>
      </c>
      <c r="I21" s="117" t="s">
        <v>389</v>
      </c>
      <c r="J21" s="115"/>
      <c r="K21" s="115"/>
      <c r="L21" s="116"/>
      <c r="M21" s="115"/>
      <c r="N21" s="115"/>
      <c r="O21" s="63"/>
    </row>
    <row r="22" spans="1:15" x14ac:dyDescent="0.35">
      <c r="A22" s="115">
        <v>17</v>
      </c>
      <c r="B22" s="115" t="s">
        <v>409</v>
      </c>
      <c r="C22" s="119">
        <v>2</v>
      </c>
      <c r="D22" s="114">
        <f t="shared" si="0"/>
        <v>592.9</v>
      </c>
      <c r="E22" s="115"/>
      <c r="F22" s="115"/>
      <c r="G22" s="115"/>
      <c r="H22" s="115"/>
      <c r="I22" s="115"/>
      <c r="J22" s="120" t="s">
        <v>351</v>
      </c>
      <c r="K22" s="120" t="s">
        <v>408</v>
      </c>
      <c r="L22" s="120">
        <v>490</v>
      </c>
      <c r="M22" s="120">
        <f>L22*1.21</f>
        <v>592.9</v>
      </c>
      <c r="N22" s="120" t="s">
        <v>389</v>
      </c>
      <c r="O22" s="63"/>
    </row>
    <row r="23" spans="1:15" x14ac:dyDescent="0.35">
      <c r="A23" s="115">
        <v>18</v>
      </c>
      <c r="B23" s="115" t="s">
        <v>407</v>
      </c>
      <c r="C23" s="119">
        <v>5</v>
      </c>
      <c r="D23" s="114">
        <f t="shared" si="0"/>
        <v>1482.25</v>
      </c>
      <c r="E23" s="117" t="s">
        <v>406</v>
      </c>
      <c r="F23" s="117" t="s">
        <v>405</v>
      </c>
      <c r="G23" s="118">
        <v>1225</v>
      </c>
      <c r="H23" s="117">
        <f>G23*1.21</f>
        <v>1482.25</v>
      </c>
      <c r="I23" s="117" t="s">
        <v>389</v>
      </c>
      <c r="J23" s="115"/>
      <c r="K23" s="115"/>
      <c r="L23" s="116"/>
      <c r="M23" s="115"/>
      <c r="N23" s="115"/>
      <c r="O23" s="63"/>
    </row>
    <row r="24" spans="1:15" x14ac:dyDescent="0.35">
      <c r="A24" s="115">
        <v>19</v>
      </c>
      <c r="B24" s="115" t="s">
        <v>404</v>
      </c>
      <c r="C24" s="119">
        <v>6</v>
      </c>
      <c r="D24" s="114">
        <f t="shared" si="0"/>
        <v>1778.6999999999998</v>
      </c>
      <c r="E24" s="117" t="s">
        <v>351</v>
      </c>
      <c r="F24" s="117" t="s">
        <v>403</v>
      </c>
      <c r="G24" s="118">
        <v>1470</v>
      </c>
      <c r="H24" s="118">
        <v>1778.7</v>
      </c>
      <c r="I24" s="118"/>
      <c r="J24" s="115"/>
      <c r="K24" s="115"/>
      <c r="L24" s="116"/>
      <c r="M24" s="116"/>
      <c r="N24" s="116"/>
      <c r="O24" s="63"/>
    </row>
    <row r="25" spans="1:15" x14ac:dyDescent="0.35">
      <c r="A25" s="115">
        <v>20</v>
      </c>
      <c r="B25" s="115" t="s">
        <v>402</v>
      </c>
      <c r="C25" s="119">
        <v>26</v>
      </c>
      <c r="D25" s="114">
        <f t="shared" si="0"/>
        <v>7707.7</v>
      </c>
      <c r="E25" s="117" t="s">
        <v>401</v>
      </c>
      <c r="F25" s="117" t="s">
        <v>400</v>
      </c>
      <c r="G25" s="118">
        <v>6370</v>
      </c>
      <c r="H25" s="117">
        <f>G25*1.21</f>
        <v>7707.7</v>
      </c>
      <c r="I25" s="117" t="s">
        <v>389</v>
      </c>
      <c r="J25" s="115"/>
      <c r="K25" s="115"/>
      <c r="L25" s="116"/>
      <c r="M25" s="115"/>
      <c r="N25" s="115"/>
      <c r="O25" s="63"/>
    </row>
    <row r="26" spans="1:15" x14ac:dyDescent="0.35">
      <c r="A26" s="115">
        <v>21</v>
      </c>
      <c r="B26" s="115" t="s">
        <v>399</v>
      </c>
      <c r="C26" s="119">
        <v>2</v>
      </c>
      <c r="D26" s="114">
        <f t="shared" si="0"/>
        <v>592.9</v>
      </c>
      <c r="E26" s="117" t="s">
        <v>351</v>
      </c>
      <c r="F26" s="117" t="s">
        <v>398</v>
      </c>
      <c r="G26" s="118">
        <v>490</v>
      </c>
      <c r="H26" s="117">
        <f>G26*1.21</f>
        <v>592.9</v>
      </c>
      <c r="I26" s="117" t="s">
        <v>389</v>
      </c>
      <c r="J26" s="115"/>
      <c r="K26" s="115"/>
      <c r="L26" s="116"/>
      <c r="M26" s="115"/>
      <c r="N26" s="115"/>
      <c r="O26" s="63"/>
    </row>
    <row r="27" spans="1:15" x14ac:dyDescent="0.35">
      <c r="A27" s="115">
        <v>22</v>
      </c>
      <c r="B27" s="115" t="s">
        <v>397</v>
      </c>
      <c r="C27" s="119">
        <v>7</v>
      </c>
      <c r="D27" s="114">
        <f t="shared" si="0"/>
        <v>2075.15</v>
      </c>
      <c r="E27" s="121"/>
      <c r="F27" s="121"/>
      <c r="G27" s="121"/>
      <c r="H27" s="121"/>
      <c r="I27" s="121"/>
      <c r="J27" s="120" t="s">
        <v>396</v>
      </c>
      <c r="K27" s="120" t="s">
        <v>395</v>
      </c>
      <c r="L27" s="120">
        <v>1715</v>
      </c>
      <c r="M27" s="120">
        <f>L27*1.21</f>
        <v>2075.15</v>
      </c>
      <c r="N27" s="120" t="s">
        <v>389</v>
      </c>
      <c r="O27" s="63"/>
    </row>
    <row r="28" spans="1:15" x14ac:dyDescent="0.35">
      <c r="A28" s="115">
        <v>23</v>
      </c>
      <c r="B28" s="115" t="s">
        <v>394</v>
      </c>
      <c r="C28" s="119">
        <v>34</v>
      </c>
      <c r="D28" s="114">
        <f t="shared" si="0"/>
        <v>10079.299999999999</v>
      </c>
      <c r="E28" s="121"/>
      <c r="F28" s="121"/>
      <c r="G28" s="121"/>
      <c r="H28" s="121"/>
      <c r="I28" s="121"/>
      <c r="J28" s="120" t="s">
        <v>393</v>
      </c>
      <c r="K28" s="120" t="s">
        <v>392</v>
      </c>
      <c r="L28" s="120">
        <v>8330</v>
      </c>
      <c r="M28" s="120">
        <f>L28*1.21</f>
        <v>10079.299999999999</v>
      </c>
      <c r="N28" s="120" t="s">
        <v>389</v>
      </c>
      <c r="O28" s="63"/>
    </row>
    <row r="29" spans="1:15" x14ac:dyDescent="0.35">
      <c r="A29" s="115">
        <v>24</v>
      </c>
      <c r="B29" s="115" t="s">
        <v>391</v>
      </c>
      <c r="C29" s="119">
        <f>20+2</f>
        <v>22</v>
      </c>
      <c r="D29" s="114">
        <f t="shared" si="0"/>
        <v>6521.9</v>
      </c>
      <c r="E29" s="117" t="s">
        <v>351</v>
      </c>
      <c r="F29" s="117" t="s">
        <v>390</v>
      </c>
      <c r="G29" s="118">
        <v>5390</v>
      </c>
      <c r="H29" s="118">
        <v>6521.9</v>
      </c>
      <c r="I29" s="117" t="s">
        <v>389</v>
      </c>
      <c r="J29" s="115"/>
      <c r="K29" s="115"/>
      <c r="L29" s="116"/>
      <c r="M29" s="116"/>
      <c r="N29" s="115"/>
      <c r="O29" s="63"/>
    </row>
    <row r="30" spans="1:15" ht="21" customHeight="1" x14ac:dyDescent="0.35">
      <c r="A30" s="114"/>
      <c r="B30" s="113" t="s">
        <v>15</v>
      </c>
      <c r="C30" s="112">
        <f>SUM(C6:C29)</f>
        <v>498</v>
      </c>
      <c r="D30" s="109">
        <f>SUM(D6:D29)</f>
        <v>147632.09999999995</v>
      </c>
      <c r="E30" s="63"/>
      <c r="F30" s="63"/>
      <c r="G30" s="109">
        <f>SUM(G6:G29)</f>
        <v>29400</v>
      </c>
      <c r="H30" s="111">
        <f>SUM(H6:H29)</f>
        <v>35574</v>
      </c>
      <c r="I30" s="109"/>
      <c r="J30" s="63"/>
      <c r="K30" s="63"/>
      <c r="L30" s="109">
        <f>SUM(L6:L29)</f>
        <v>92610</v>
      </c>
      <c r="M30" s="110">
        <f>SUM(M6:M29)</f>
        <v>112058.09999999998</v>
      </c>
      <c r="N30" s="109"/>
      <c r="O30" s="242">
        <f>H30+M30</f>
        <v>147632.09999999998</v>
      </c>
    </row>
    <row r="33" spans="8:8" x14ac:dyDescent="0.35">
      <c r="H33" s="108"/>
    </row>
  </sheetData>
  <mergeCells count="15">
    <mergeCell ref="D4:D5"/>
    <mergeCell ref="E4:F4"/>
    <mergeCell ref="G4:G5"/>
    <mergeCell ref="H4:H5"/>
    <mergeCell ref="A2:C2"/>
    <mergeCell ref="A3:A5"/>
    <mergeCell ref="B3:B5"/>
    <mergeCell ref="C3:C5"/>
    <mergeCell ref="I4:I5"/>
    <mergeCell ref="J3:N3"/>
    <mergeCell ref="J4:K4"/>
    <mergeCell ref="L4:L5"/>
    <mergeCell ref="M4:M5"/>
    <mergeCell ref="N4:N5"/>
    <mergeCell ref="E3:I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9A88-6D46-4B64-B5AA-897BD6CAB5A6}">
  <sheetPr>
    <tabColor rgb="FF00B0F0"/>
  </sheetPr>
  <dimension ref="A1:Q23"/>
  <sheetViews>
    <sheetView view="pageBreakPreview" zoomScale="60" zoomScaleNormal="80" workbookViewId="0">
      <selection activeCell="A10" sqref="A10"/>
    </sheetView>
  </sheetViews>
  <sheetFormatPr defaultColWidth="9.1796875" defaultRowHeight="14" x14ac:dyDescent="0.35"/>
  <cols>
    <col min="1" max="1" width="16" style="14" customWidth="1"/>
    <col min="2" max="2" width="31.453125" style="14" customWidth="1"/>
    <col min="3" max="4" width="27.7265625" style="14" customWidth="1"/>
    <col min="5" max="5" width="7.7265625" style="14" customWidth="1"/>
    <col min="6" max="6" width="15.7265625" style="42" customWidth="1"/>
    <col min="7" max="7" width="13.81640625" style="14" customWidth="1"/>
    <col min="8" max="8" width="12.81640625" style="14" customWidth="1"/>
    <col min="9" max="9" width="23.26953125" style="14" customWidth="1"/>
    <col min="10" max="10" width="16.54296875" style="42" customWidth="1"/>
    <col min="11" max="11" width="14.26953125" style="42" customWidth="1"/>
    <col min="12" max="12" width="14.54296875" style="272" customWidth="1"/>
    <col min="13" max="13" width="14.1796875" style="271" customWidth="1"/>
    <col min="14" max="14" width="33.54296875" style="14" customWidth="1"/>
    <col min="15" max="17" width="10" style="14" bestFit="1" customWidth="1"/>
    <col min="18" max="16384" width="9.1796875" style="14"/>
  </cols>
  <sheetData>
    <row r="1" spans="1:16" ht="15.5" x14ac:dyDescent="0.35">
      <c r="B1" s="460"/>
      <c r="C1" s="460"/>
      <c r="D1" s="294"/>
      <c r="E1" s="11"/>
      <c r="F1" s="55"/>
      <c r="G1" s="11"/>
      <c r="H1" s="11"/>
      <c r="I1" s="11"/>
      <c r="J1" s="55"/>
      <c r="K1" s="55"/>
      <c r="L1" s="274"/>
      <c r="M1" s="273"/>
      <c r="N1" s="12"/>
    </row>
    <row r="2" spans="1:16" ht="15.5" x14ac:dyDescent="0.35">
      <c r="A2" s="446" t="s">
        <v>609</v>
      </c>
      <c r="B2" s="446"/>
      <c r="C2" s="332"/>
      <c r="D2" s="332"/>
      <c r="E2" s="11"/>
      <c r="F2" s="55"/>
      <c r="G2" s="11"/>
      <c r="H2" s="11"/>
      <c r="I2" s="178"/>
      <c r="J2" s="289"/>
      <c r="K2" s="289"/>
      <c r="L2" s="274"/>
      <c r="M2" s="273"/>
      <c r="N2" s="12"/>
    </row>
    <row r="3" spans="1:16" ht="15.5" x14ac:dyDescent="0.35">
      <c r="B3" s="277"/>
      <c r="C3" s="11"/>
      <c r="D3" s="11"/>
      <c r="E3" s="11"/>
      <c r="F3" s="55"/>
      <c r="G3" s="11"/>
      <c r="H3" s="11"/>
      <c r="I3" s="178"/>
      <c r="J3" s="289"/>
      <c r="K3" s="289"/>
      <c r="L3" s="274"/>
      <c r="M3" s="273"/>
      <c r="N3" s="12"/>
    </row>
    <row r="4" spans="1:16" ht="17.5" x14ac:dyDescent="0.35">
      <c r="B4" s="461" t="s">
        <v>18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</row>
    <row r="5" spans="1:16" ht="15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6" ht="15.75" customHeight="1" x14ac:dyDescent="0.35">
      <c r="A6" s="447" t="s">
        <v>612</v>
      </c>
      <c r="B6" s="447" t="s">
        <v>19</v>
      </c>
      <c r="C6" s="447" t="s">
        <v>223</v>
      </c>
      <c r="D6" s="447" t="s">
        <v>627</v>
      </c>
      <c r="E6" s="447" t="s">
        <v>21</v>
      </c>
      <c r="F6" s="468" t="s">
        <v>22</v>
      </c>
      <c r="G6" s="465" t="s">
        <v>279</v>
      </c>
      <c r="H6" s="466"/>
      <c r="I6" s="466"/>
      <c r="J6" s="467"/>
      <c r="K6" s="326"/>
      <c r="L6" s="470" t="s">
        <v>23</v>
      </c>
      <c r="M6" s="471"/>
      <c r="N6" s="447" t="s">
        <v>277</v>
      </c>
    </row>
    <row r="7" spans="1:16" ht="47.25" customHeight="1" x14ac:dyDescent="0.35">
      <c r="A7" s="448"/>
      <c r="B7" s="448"/>
      <c r="C7" s="448"/>
      <c r="D7" s="448"/>
      <c r="E7" s="448"/>
      <c r="F7" s="469"/>
      <c r="G7" s="15" t="s">
        <v>24</v>
      </c>
      <c r="H7" s="15" t="s">
        <v>25</v>
      </c>
      <c r="I7" s="15" t="s">
        <v>26</v>
      </c>
      <c r="J7" s="276" t="s">
        <v>608</v>
      </c>
      <c r="K7" s="15" t="s">
        <v>613</v>
      </c>
      <c r="L7" s="15" t="s">
        <v>614</v>
      </c>
      <c r="M7" s="15" t="s">
        <v>615</v>
      </c>
      <c r="N7" s="448"/>
    </row>
    <row r="8" spans="1:16" ht="15" x14ac:dyDescent="0.35">
      <c r="A8" s="450" t="s">
        <v>28</v>
      </c>
      <c r="B8" s="451"/>
      <c r="C8" s="17"/>
      <c r="D8" s="35"/>
      <c r="E8" s="35"/>
      <c r="F8" s="61">
        <f>SUM(F9:F20)</f>
        <v>330816</v>
      </c>
      <c r="G8" s="35"/>
      <c r="H8" s="17"/>
      <c r="I8" s="17"/>
      <c r="J8" s="36">
        <f>SUM(J9:J20)-38573.39</f>
        <v>330816</v>
      </c>
      <c r="K8" s="36"/>
      <c r="L8" s="275">
        <f>SUM(L9:L20)</f>
        <v>369389.39</v>
      </c>
      <c r="M8" s="36" t="s">
        <v>29</v>
      </c>
      <c r="N8" s="17"/>
      <c r="P8" s="42"/>
    </row>
    <row r="9" spans="1:16" ht="15.5" x14ac:dyDescent="0.35">
      <c r="A9" s="331" t="s">
        <v>47</v>
      </c>
      <c r="B9" s="278"/>
      <c r="C9" s="234" t="s">
        <v>95</v>
      </c>
      <c r="D9" s="234" t="s">
        <v>639</v>
      </c>
      <c r="E9" s="278">
        <v>15</v>
      </c>
      <c r="F9" s="279">
        <v>60000</v>
      </c>
      <c r="G9" s="456" t="s">
        <v>607</v>
      </c>
      <c r="H9" s="456" t="s">
        <v>591</v>
      </c>
      <c r="I9" s="456" t="s">
        <v>32</v>
      </c>
      <c r="J9" s="458">
        <v>69762.55</v>
      </c>
      <c r="K9" s="452">
        <v>1580</v>
      </c>
      <c r="L9" s="454">
        <v>69762.55</v>
      </c>
      <c r="M9" s="454"/>
      <c r="N9" s="456" t="s">
        <v>606</v>
      </c>
    </row>
    <row r="10" spans="1:16" ht="62" x14ac:dyDescent="0.35">
      <c r="A10" s="331" t="s">
        <v>617</v>
      </c>
      <c r="B10" s="278"/>
      <c r="C10" s="234" t="s">
        <v>605</v>
      </c>
      <c r="D10" s="234" t="s">
        <v>639</v>
      </c>
      <c r="E10" s="278">
        <v>1</v>
      </c>
      <c r="F10" s="279">
        <v>9900</v>
      </c>
      <c r="G10" s="457"/>
      <c r="H10" s="457"/>
      <c r="I10" s="457"/>
      <c r="J10" s="459"/>
      <c r="K10" s="453"/>
      <c r="L10" s="455"/>
      <c r="M10" s="455"/>
      <c r="N10" s="457"/>
    </row>
    <row r="11" spans="1:16" ht="31" x14ac:dyDescent="0.35">
      <c r="A11" s="331" t="s">
        <v>618</v>
      </c>
      <c r="B11" s="278"/>
      <c r="C11" s="234" t="s">
        <v>604</v>
      </c>
      <c r="D11" s="234" t="s">
        <v>639</v>
      </c>
      <c r="E11" s="278">
        <v>15</v>
      </c>
      <c r="F11" s="279">
        <v>16500</v>
      </c>
      <c r="G11" s="278" t="s">
        <v>603</v>
      </c>
      <c r="H11" s="278" t="s">
        <v>255</v>
      </c>
      <c r="I11" s="278" t="s">
        <v>140</v>
      </c>
      <c r="J11" s="279">
        <v>18513</v>
      </c>
      <c r="K11" s="285"/>
      <c r="L11" s="280">
        <v>18513</v>
      </c>
      <c r="M11" s="281"/>
      <c r="N11" s="278" t="s">
        <v>602</v>
      </c>
    </row>
    <row r="12" spans="1:16" ht="108.5" x14ac:dyDescent="0.35">
      <c r="A12" s="331" t="s">
        <v>616</v>
      </c>
      <c r="B12" s="282" t="s">
        <v>601</v>
      </c>
      <c r="C12" s="234" t="s">
        <v>600</v>
      </c>
      <c r="D12" s="234" t="s">
        <v>639</v>
      </c>
      <c r="E12" s="283">
        <v>13</v>
      </c>
      <c r="F12" s="284">
        <v>154700</v>
      </c>
      <c r="G12" s="278" t="s">
        <v>599</v>
      </c>
      <c r="H12" s="278" t="s">
        <v>293</v>
      </c>
      <c r="I12" s="278" t="s">
        <v>32</v>
      </c>
      <c r="J12" s="279">
        <v>187151.29</v>
      </c>
      <c r="K12" s="285">
        <v>1354</v>
      </c>
      <c r="L12" s="280">
        <v>187151.29</v>
      </c>
      <c r="M12" s="281"/>
      <c r="N12" s="278" t="s">
        <v>598</v>
      </c>
    </row>
    <row r="13" spans="1:16" ht="31" x14ac:dyDescent="0.35">
      <c r="A13" s="331" t="s">
        <v>621</v>
      </c>
      <c r="B13" s="232" t="s">
        <v>619</v>
      </c>
      <c r="C13" s="234"/>
      <c r="D13" s="234" t="s">
        <v>639</v>
      </c>
      <c r="E13" s="278">
        <v>10</v>
      </c>
      <c r="F13" s="279">
        <v>4720</v>
      </c>
      <c r="G13" s="278" t="s">
        <v>597</v>
      </c>
      <c r="H13" s="278" t="s">
        <v>596</v>
      </c>
      <c r="I13" s="278" t="s">
        <v>595</v>
      </c>
      <c r="J13" s="279">
        <f>11543.4/30*10</f>
        <v>3847.7999999999997</v>
      </c>
      <c r="K13" s="285">
        <v>1353</v>
      </c>
      <c r="L13" s="280">
        <v>3847.8</v>
      </c>
      <c r="M13" s="281"/>
      <c r="N13" s="278" t="s">
        <v>594</v>
      </c>
    </row>
    <row r="14" spans="1:16" ht="31" x14ac:dyDescent="0.35">
      <c r="A14" s="331" t="s">
        <v>620</v>
      </c>
      <c r="B14" s="232"/>
      <c r="C14" s="234" t="s">
        <v>593</v>
      </c>
      <c r="D14" s="234" t="s">
        <v>639</v>
      </c>
      <c r="E14" s="285">
        <v>15</v>
      </c>
      <c r="F14" s="279">
        <v>37500</v>
      </c>
      <c r="G14" s="278" t="s">
        <v>592</v>
      </c>
      <c r="H14" s="278" t="s">
        <v>591</v>
      </c>
      <c r="I14" s="278" t="s">
        <v>32</v>
      </c>
      <c r="J14" s="279">
        <v>41363.85</v>
      </c>
      <c r="K14" s="285">
        <v>1581</v>
      </c>
      <c r="L14" s="280">
        <v>41363.85</v>
      </c>
      <c r="M14" s="281"/>
      <c r="N14" s="278" t="s">
        <v>590</v>
      </c>
    </row>
    <row r="15" spans="1:16" ht="31" x14ac:dyDescent="0.35">
      <c r="A15" s="331" t="s">
        <v>622</v>
      </c>
      <c r="B15" s="232" t="s">
        <v>589</v>
      </c>
      <c r="C15" s="234"/>
      <c r="D15" s="234" t="s">
        <v>639</v>
      </c>
      <c r="E15" s="278">
        <v>3</v>
      </c>
      <c r="F15" s="279">
        <v>23716</v>
      </c>
      <c r="G15" s="278" t="s">
        <v>588</v>
      </c>
      <c r="H15" s="286" t="s">
        <v>283</v>
      </c>
      <c r="I15" s="278" t="s">
        <v>136</v>
      </c>
      <c r="J15" s="279">
        <v>28277.7</v>
      </c>
      <c r="K15" s="285">
        <v>1582</v>
      </c>
      <c r="L15" s="280">
        <v>28277.7</v>
      </c>
      <c r="M15" s="281"/>
      <c r="N15" s="278" t="s">
        <v>584</v>
      </c>
    </row>
    <row r="16" spans="1:16" ht="31" x14ac:dyDescent="0.35">
      <c r="A16" s="331" t="s">
        <v>39</v>
      </c>
      <c r="B16" s="232" t="s">
        <v>587</v>
      </c>
      <c r="C16" s="234" t="s">
        <v>586</v>
      </c>
      <c r="D16" s="234" t="s">
        <v>639</v>
      </c>
      <c r="E16" s="278">
        <v>2</v>
      </c>
      <c r="F16" s="279">
        <v>10000</v>
      </c>
      <c r="G16" s="278" t="s">
        <v>585</v>
      </c>
      <c r="H16" s="286" t="s">
        <v>283</v>
      </c>
      <c r="I16" s="278" t="s">
        <v>142</v>
      </c>
      <c r="J16" s="279">
        <v>7623</v>
      </c>
      <c r="K16" s="285">
        <v>1189</v>
      </c>
      <c r="L16" s="280">
        <v>7623</v>
      </c>
      <c r="M16" s="281"/>
      <c r="N16" s="278" t="s">
        <v>584</v>
      </c>
    </row>
    <row r="17" spans="1:17" ht="46.5" x14ac:dyDescent="0.35">
      <c r="A17" s="331" t="s">
        <v>623</v>
      </c>
      <c r="B17" s="278"/>
      <c r="C17" s="234" t="s">
        <v>583</v>
      </c>
      <c r="D17" s="234" t="s">
        <v>639</v>
      </c>
      <c r="E17" s="278">
        <v>30</v>
      </c>
      <c r="F17" s="279">
        <v>1470</v>
      </c>
      <c r="G17" s="456">
        <v>6721801418</v>
      </c>
      <c r="H17" s="456" t="s">
        <v>396</v>
      </c>
      <c r="I17" s="456" t="s">
        <v>582</v>
      </c>
      <c r="J17" s="458">
        <v>4719</v>
      </c>
      <c r="K17" s="328">
        <v>1304</v>
      </c>
      <c r="L17" s="454">
        <v>4719</v>
      </c>
      <c r="M17" s="454"/>
      <c r="N17" s="456" t="s">
        <v>581</v>
      </c>
    </row>
    <row r="18" spans="1:17" ht="56" x14ac:dyDescent="0.35">
      <c r="A18" s="331" t="s">
        <v>624</v>
      </c>
      <c r="B18" s="278"/>
      <c r="C18" s="287" t="s">
        <v>580</v>
      </c>
      <c r="D18" s="234" t="s">
        <v>639</v>
      </c>
      <c r="E18" s="278">
        <v>30</v>
      </c>
      <c r="F18" s="279">
        <v>2910</v>
      </c>
      <c r="G18" s="457"/>
      <c r="H18" s="457"/>
      <c r="I18" s="457"/>
      <c r="J18" s="459"/>
      <c r="K18" s="327">
        <v>1923</v>
      </c>
      <c r="L18" s="455"/>
      <c r="M18" s="455"/>
      <c r="N18" s="457"/>
    </row>
    <row r="19" spans="1:17" ht="31" x14ac:dyDescent="0.35">
      <c r="A19" s="331" t="s">
        <v>625</v>
      </c>
      <c r="B19" s="278"/>
      <c r="C19" s="288" t="s">
        <v>579</v>
      </c>
      <c r="D19" s="234" t="s">
        <v>639</v>
      </c>
      <c r="E19" s="278">
        <v>3</v>
      </c>
      <c r="F19" s="279">
        <v>4200</v>
      </c>
      <c r="G19" s="278" t="s">
        <v>578</v>
      </c>
      <c r="H19" s="278" t="s">
        <v>217</v>
      </c>
      <c r="I19" s="278" t="s">
        <v>32</v>
      </c>
      <c r="J19" s="279">
        <v>3993</v>
      </c>
      <c r="K19" s="285"/>
      <c r="L19" s="281">
        <v>3993</v>
      </c>
      <c r="M19" s="281"/>
      <c r="N19" s="278" t="s">
        <v>577</v>
      </c>
    </row>
    <row r="20" spans="1:17" ht="31" x14ac:dyDescent="0.35">
      <c r="A20" s="331" t="s">
        <v>626</v>
      </c>
      <c r="B20" s="278"/>
      <c r="C20" s="234" t="s">
        <v>576</v>
      </c>
      <c r="D20" s="234" t="s">
        <v>639</v>
      </c>
      <c r="E20" s="278">
        <v>2</v>
      </c>
      <c r="F20" s="279">
        <v>5200</v>
      </c>
      <c r="G20" s="278" t="s">
        <v>575</v>
      </c>
      <c r="H20" s="278" t="s">
        <v>291</v>
      </c>
      <c r="I20" s="278" t="s">
        <v>574</v>
      </c>
      <c r="J20" s="279">
        <v>4138.2</v>
      </c>
      <c r="K20" s="285">
        <v>1096</v>
      </c>
      <c r="L20" s="281">
        <f>10345.5/5*2</f>
        <v>4138.2</v>
      </c>
      <c r="M20" s="281"/>
      <c r="N20" s="278" t="s">
        <v>573</v>
      </c>
    </row>
    <row r="21" spans="1:17" s="13" customFormat="1" ht="15.5" x14ac:dyDescent="0.35">
      <c r="B21" s="11"/>
      <c r="C21" s="11"/>
      <c r="D21" s="11"/>
      <c r="E21" s="11"/>
      <c r="F21" s="55"/>
      <c r="G21" s="11"/>
      <c r="H21" s="11"/>
      <c r="I21" s="11"/>
      <c r="J21" s="55"/>
      <c r="K21" s="329"/>
      <c r="L21" s="274"/>
      <c r="M21" s="273"/>
      <c r="N21" s="11"/>
      <c r="O21" s="14"/>
      <c r="P21" s="14"/>
      <c r="Q21" s="14"/>
    </row>
    <row r="22" spans="1:17" s="13" customFormat="1" ht="15" customHeight="1" x14ac:dyDescent="0.35">
      <c r="A22" s="444" t="s">
        <v>628</v>
      </c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5"/>
      <c r="O22" s="14"/>
      <c r="P22" s="14"/>
      <c r="Q22" s="14"/>
    </row>
    <row r="23" spans="1:17" s="13" customFormat="1" ht="15" customHeight="1" x14ac:dyDescent="0.35">
      <c r="A23" s="444"/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5"/>
      <c r="O23" s="14"/>
      <c r="P23" s="14"/>
      <c r="Q23" s="14"/>
    </row>
  </sheetData>
  <mergeCells count="31">
    <mergeCell ref="B1:C1"/>
    <mergeCell ref="B4:N4"/>
    <mergeCell ref="G5:N5"/>
    <mergeCell ref="B6:B7"/>
    <mergeCell ref="C6:C7"/>
    <mergeCell ref="E6:E7"/>
    <mergeCell ref="F6:F7"/>
    <mergeCell ref="G6:J6"/>
    <mergeCell ref="L6:M6"/>
    <mergeCell ref="N6:N7"/>
    <mergeCell ref="L9:L10"/>
    <mergeCell ref="G17:G18"/>
    <mergeCell ref="H17:H18"/>
    <mergeCell ref="I17:I18"/>
    <mergeCell ref="J17:J18"/>
    <mergeCell ref="A22:N23"/>
    <mergeCell ref="A2:B2"/>
    <mergeCell ref="D6:D7"/>
    <mergeCell ref="A6:A7"/>
    <mergeCell ref="A5:F5"/>
    <mergeCell ref="A8:B8"/>
    <mergeCell ref="K9:K10"/>
    <mergeCell ref="M9:M10"/>
    <mergeCell ref="N9:N10"/>
    <mergeCell ref="N17:N18"/>
    <mergeCell ref="L17:L18"/>
    <mergeCell ref="M17:M18"/>
    <mergeCell ref="G9:G10"/>
    <mergeCell ref="H9:H10"/>
    <mergeCell ref="I9:I10"/>
    <mergeCell ref="J9:J10"/>
  </mergeCells>
  <pageMargins left="0.7" right="0.7" top="0.75" bottom="0.75" header="0.3" footer="0.3"/>
  <pageSetup paperSize="9" scale="32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0186-BD6F-49F2-B636-A0CB29D2B02F}">
  <sheetPr>
    <tabColor rgb="FF00B0F0"/>
  </sheetPr>
  <dimension ref="A1:O35"/>
  <sheetViews>
    <sheetView view="pageBreakPreview" zoomScale="50" zoomScaleNormal="70" zoomScaleSheetLayoutView="50" workbookViewId="0">
      <selection activeCell="J25" sqref="J25"/>
    </sheetView>
  </sheetViews>
  <sheetFormatPr defaultColWidth="9.1796875" defaultRowHeight="14" x14ac:dyDescent="0.35"/>
  <cols>
    <col min="1" max="1" width="16.81640625" style="14" customWidth="1"/>
    <col min="2" max="2" width="33.1796875" style="14" customWidth="1"/>
    <col min="3" max="3" width="35.453125" style="14" customWidth="1"/>
    <col min="4" max="4" width="26.26953125" style="14" customWidth="1"/>
    <col min="5" max="5" width="14.26953125" style="14" customWidth="1"/>
    <col min="6" max="6" width="16.81640625" style="14" customWidth="1"/>
    <col min="7" max="7" width="16.7265625" style="14" customWidth="1"/>
    <col min="8" max="8" width="14.1796875" style="14" customWidth="1"/>
    <col min="9" max="9" width="21" style="14" customWidth="1"/>
    <col min="10" max="11" width="14.26953125" style="14" customWidth="1"/>
    <col min="12" max="12" width="14.453125" style="14" customWidth="1"/>
    <col min="13" max="13" width="14.1796875" style="14" customWidth="1"/>
    <col min="14" max="14" width="32.81640625" style="14" customWidth="1"/>
    <col min="15" max="15" width="14.1796875" style="13" customWidth="1"/>
    <col min="16" max="18" width="10" style="14" bestFit="1" customWidth="1"/>
    <col min="19" max="16384" width="9.1796875" style="14"/>
  </cols>
  <sheetData>
    <row r="1" spans="1:14" ht="15.5" x14ac:dyDescent="0.3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.5" x14ac:dyDescent="0.35">
      <c r="A2" s="472" t="s">
        <v>17</v>
      </c>
      <c r="B2" s="47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5.5" x14ac:dyDescent="0.3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36.75" customHeight="1" x14ac:dyDescent="0.35">
      <c r="B4" s="461" t="s">
        <v>18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</row>
    <row r="5" spans="1:14" ht="35.25" customHeight="1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4" ht="43.5" customHeight="1" x14ac:dyDescent="0.35">
      <c r="A6" s="447" t="s">
        <v>612</v>
      </c>
      <c r="B6" s="447" t="s">
        <v>19</v>
      </c>
      <c r="C6" s="447" t="s">
        <v>20</v>
      </c>
      <c r="D6" s="447" t="s">
        <v>627</v>
      </c>
      <c r="E6" s="447" t="s">
        <v>21</v>
      </c>
      <c r="F6" s="447" t="s">
        <v>22</v>
      </c>
      <c r="G6" s="465" t="s">
        <v>279</v>
      </c>
      <c r="H6" s="466"/>
      <c r="I6" s="466"/>
      <c r="J6" s="467"/>
      <c r="K6" s="465" t="s">
        <v>278</v>
      </c>
      <c r="L6" s="466"/>
      <c r="M6" s="467"/>
      <c r="N6" s="447" t="s">
        <v>277</v>
      </c>
    </row>
    <row r="7" spans="1:14" ht="67.5" customHeight="1" x14ac:dyDescent="0.35">
      <c r="A7" s="448"/>
      <c r="B7" s="448"/>
      <c r="C7" s="448"/>
      <c r="D7" s="448"/>
      <c r="E7" s="448"/>
      <c r="F7" s="448"/>
      <c r="G7" s="15" t="s">
        <v>24</v>
      </c>
      <c r="H7" s="15" t="s">
        <v>25</v>
      </c>
      <c r="I7" s="15" t="s">
        <v>26</v>
      </c>
      <c r="J7" s="15" t="s">
        <v>27</v>
      </c>
      <c r="K7" s="15" t="s">
        <v>613</v>
      </c>
      <c r="L7" s="15" t="s">
        <v>614</v>
      </c>
      <c r="M7" s="15" t="s">
        <v>615</v>
      </c>
      <c r="N7" s="448"/>
    </row>
    <row r="8" spans="1:14" ht="39" customHeight="1" x14ac:dyDescent="0.35">
      <c r="A8" s="333" t="s">
        <v>28</v>
      </c>
      <c r="B8" s="334"/>
      <c r="C8" s="17" t="s">
        <v>29</v>
      </c>
      <c r="D8" s="17"/>
      <c r="E8" s="17"/>
      <c r="F8" s="36">
        <f>ROUNDUP(SUM(F9:F23),0)</f>
        <v>150867</v>
      </c>
      <c r="G8" s="17" t="s">
        <v>29</v>
      </c>
      <c r="H8" s="17" t="s">
        <v>29</v>
      </c>
      <c r="I8" s="17" t="s">
        <v>29</v>
      </c>
      <c r="J8" s="36">
        <f>ROUNDUP(SUM(J15:J17,J19:J22,J24:J25),0)</f>
        <v>17457</v>
      </c>
      <c r="K8" s="36"/>
      <c r="L8" s="36">
        <f>ROUNDUP(SUM(L15:L17,L19:L22,L24:L25),0)</f>
        <v>17457</v>
      </c>
      <c r="M8" s="36"/>
      <c r="N8" s="17" t="s">
        <v>29</v>
      </c>
    </row>
    <row r="9" spans="1:14" ht="31" x14ac:dyDescent="0.35">
      <c r="B9" s="85" t="s">
        <v>30</v>
      </c>
      <c r="C9" s="85" t="s">
        <v>31</v>
      </c>
      <c r="D9" s="85" t="s">
        <v>639</v>
      </c>
      <c r="E9" s="85">
        <v>1</v>
      </c>
      <c r="F9" s="86">
        <v>4840</v>
      </c>
      <c r="G9" s="87" t="s">
        <v>317</v>
      </c>
      <c r="H9" s="87" t="s">
        <v>318</v>
      </c>
      <c r="I9" s="87" t="s">
        <v>32</v>
      </c>
      <c r="J9" s="88">
        <v>4840</v>
      </c>
      <c r="K9" s="335">
        <v>2215</v>
      </c>
      <c r="L9" s="87">
        <v>4840</v>
      </c>
      <c r="M9" s="88"/>
      <c r="N9" s="85" t="s">
        <v>315</v>
      </c>
    </row>
    <row r="10" spans="1:14" ht="31" x14ac:dyDescent="0.35">
      <c r="B10" s="85" t="s">
        <v>30</v>
      </c>
      <c r="C10" s="85" t="s">
        <v>33</v>
      </c>
      <c r="D10" s="85" t="s">
        <v>639</v>
      </c>
      <c r="E10" s="85">
        <v>1</v>
      </c>
      <c r="F10" s="86">
        <v>4840</v>
      </c>
      <c r="G10" s="87" t="s">
        <v>317</v>
      </c>
      <c r="H10" s="87" t="s">
        <v>318</v>
      </c>
      <c r="I10" s="87" t="s">
        <v>32</v>
      </c>
      <c r="J10" s="88">
        <v>4840</v>
      </c>
      <c r="K10" s="335">
        <v>2215</v>
      </c>
      <c r="L10" s="87">
        <v>4840</v>
      </c>
      <c r="M10" s="88"/>
      <c r="N10" s="85" t="s">
        <v>315</v>
      </c>
    </row>
    <row r="11" spans="1:14" ht="31" x14ac:dyDescent="0.35">
      <c r="B11" s="85" t="s">
        <v>30</v>
      </c>
      <c r="C11" s="85" t="s">
        <v>34</v>
      </c>
      <c r="D11" s="85" t="s">
        <v>639</v>
      </c>
      <c r="E11" s="85">
        <v>1</v>
      </c>
      <c r="F11" s="86">
        <v>2057</v>
      </c>
      <c r="G11" s="87" t="s">
        <v>317</v>
      </c>
      <c r="H11" s="87" t="s">
        <v>318</v>
      </c>
      <c r="I11" s="87" t="s">
        <v>32</v>
      </c>
      <c r="J11" s="88">
        <v>2057</v>
      </c>
      <c r="K11" s="335">
        <v>2215</v>
      </c>
      <c r="L11" s="87">
        <v>2057</v>
      </c>
      <c r="M11" s="88"/>
      <c r="N11" s="85" t="s">
        <v>315</v>
      </c>
    </row>
    <row r="12" spans="1:14" ht="31" x14ac:dyDescent="0.35">
      <c r="B12" s="85" t="s">
        <v>30</v>
      </c>
      <c r="C12" s="85" t="s">
        <v>35</v>
      </c>
      <c r="D12" s="85" t="s">
        <v>639</v>
      </c>
      <c r="E12" s="85">
        <v>1</v>
      </c>
      <c r="F12" s="86">
        <v>350.02</v>
      </c>
      <c r="G12" s="87" t="s">
        <v>319</v>
      </c>
      <c r="H12" s="87" t="s">
        <v>320</v>
      </c>
      <c r="I12" s="87" t="s">
        <v>321</v>
      </c>
      <c r="J12" s="87">
        <v>350.02</v>
      </c>
      <c r="K12" s="335">
        <v>2213</v>
      </c>
      <c r="L12" s="87">
        <v>350.02</v>
      </c>
      <c r="M12" s="87"/>
      <c r="N12" s="85" t="s">
        <v>315</v>
      </c>
    </row>
    <row r="13" spans="1:14" ht="31" x14ac:dyDescent="0.35">
      <c r="B13" s="85" t="s">
        <v>30</v>
      </c>
      <c r="C13" s="85" t="s">
        <v>36</v>
      </c>
      <c r="D13" s="85" t="s">
        <v>639</v>
      </c>
      <c r="E13" s="85">
        <v>2</v>
      </c>
      <c r="F13" s="86">
        <v>870.56</v>
      </c>
      <c r="G13" s="87" t="s">
        <v>319</v>
      </c>
      <c r="H13" s="87" t="s">
        <v>320</v>
      </c>
      <c r="I13" s="87" t="s">
        <v>321</v>
      </c>
      <c r="J13" s="87">
        <v>870.56</v>
      </c>
      <c r="K13" s="335">
        <v>2213</v>
      </c>
      <c r="L13" s="87">
        <v>870.56</v>
      </c>
      <c r="M13" s="87"/>
      <c r="N13" s="85" t="s">
        <v>315</v>
      </c>
    </row>
    <row r="14" spans="1:14" ht="31" x14ac:dyDescent="0.35">
      <c r="B14" s="85" t="s">
        <v>30</v>
      </c>
      <c r="C14" s="85" t="s">
        <v>37</v>
      </c>
      <c r="D14" s="85" t="s">
        <v>639</v>
      </c>
      <c r="E14" s="85">
        <v>2</v>
      </c>
      <c r="F14" s="86">
        <v>1251.98</v>
      </c>
      <c r="G14" s="87" t="s">
        <v>322</v>
      </c>
      <c r="H14" s="87" t="s">
        <v>320</v>
      </c>
      <c r="I14" s="87" t="s">
        <v>321</v>
      </c>
      <c r="J14" s="87">
        <v>1251.98</v>
      </c>
      <c r="K14" s="335">
        <v>2311</v>
      </c>
      <c r="L14" s="87">
        <v>1251.98</v>
      </c>
      <c r="M14" s="87"/>
      <c r="N14" s="85" t="s">
        <v>315</v>
      </c>
    </row>
    <row r="15" spans="1:14" ht="46.5" x14ac:dyDescent="0.35">
      <c r="A15" s="76" t="s">
        <v>38</v>
      </c>
      <c r="B15" s="76" t="s">
        <v>38</v>
      </c>
      <c r="C15" s="76" t="s">
        <v>38</v>
      </c>
      <c r="D15" s="76" t="s">
        <v>639</v>
      </c>
      <c r="E15" s="76">
        <v>2</v>
      </c>
      <c r="F15" s="77">
        <v>75</v>
      </c>
      <c r="G15" s="76" t="s">
        <v>297</v>
      </c>
      <c r="H15" s="76" t="s">
        <v>42</v>
      </c>
      <c r="I15" s="76" t="s">
        <v>298</v>
      </c>
      <c r="J15" s="76">
        <v>17.29</v>
      </c>
      <c r="K15" s="336">
        <v>97</v>
      </c>
      <c r="L15" s="76">
        <v>17.29</v>
      </c>
      <c r="M15" s="76"/>
      <c r="N15" s="76" t="s">
        <v>314</v>
      </c>
    </row>
    <row r="16" spans="1:14" ht="46.5" x14ac:dyDescent="0.35">
      <c r="A16" s="76" t="s">
        <v>39</v>
      </c>
      <c r="B16" s="76" t="s">
        <v>39</v>
      </c>
      <c r="C16" s="76" t="s">
        <v>40</v>
      </c>
      <c r="D16" s="76" t="s">
        <v>639</v>
      </c>
      <c r="E16" s="76">
        <v>1</v>
      </c>
      <c r="F16" s="77">
        <v>6000</v>
      </c>
      <c r="G16" s="76" t="s">
        <v>41</v>
      </c>
      <c r="H16" s="76" t="s">
        <v>42</v>
      </c>
      <c r="I16" s="76" t="s">
        <v>32</v>
      </c>
      <c r="J16" s="78">
        <v>5142.5</v>
      </c>
      <c r="K16" s="336">
        <v>2432</v>
      </c>
      <c r="L16" s="76">
        <v>5142.5</v>
      </c>
      <c r="M16" s="78"/>
      <c r="N16" s="76" t="s">
        <v>314</v>
      </c>
    </row>
    <row r="17" spans="1:15" ht="46.5" x14ac:dyDescent="0.35">
      <c r="A17" s="76" t="s">
        <v>43</v>
      </c>
      <c r="B17" s="76" t="s">
        <v>43</v>
      </c>
      <c r="C17" s="76" t="s">
        <v>44</v>
      </c>
      <c r="D17" s="76" t="s">
        <v>639</v>
      </c>
      <c r="E17" s="76">
        <v>1</v>
      </c>
      <c r="F17" s="77">
        <v>2000</v>
      </c>
      <c r="G17" s="76" t="s">
        <v>41</v>
      </c>
      <c r="H17" s="76" t="s">
        <v>42</v>
      </c>
      <c r="I17" s="76" t="s">
        <v>32</v>
      </c>
      <c r="J17" s="78">
        <v>1573</v>
      </c>
      <c r="K17" s="336">
        <v>2432</v>
      </c>
      <c r="L17" s="76">
        <v>1573</v>
      </c>
      <c r="M17" s="78"/>
      <c r="N17" s="76" t="s">
        <v>314</v>
      </c>
    </row>
    <row r="18" spans="1:15" ht="48" customHeight="1" x14ac:dyDescent="0.35">
      <c r="B18" s="85" t="s">
        <v>45</v>
      </c>
      <c r="C18" s="85" t="s">
        <v>46</v>
      </c>
      <c r="D18" s="85" t="s">
        <v>639</v>
      </c>
      <c r="E18" s="85">
        <v>2</v>
      </c>
      <c r="F18" s="86">
        <v>29040</v>
      </c>
      <c r="G18" s="87" t="s">
        <v>323</v>
      </c>
      <c r="H18" s="87" t="s">
        <v>324</v>
      </c>
      <c r="I18" s="87" t="s">
        <v>32</v>
      </c>
      <c r="J18" s="89">
        <v>30673.5</v>
      </c>
      <c r="K18" s="337">
        <v>2215</v>
      </c>
      <c r="L18" s="90">
        <v>30673.5</v>
      </c>
      <c r="M18" s="89"/>
      <c r="N18" s="85" t="s">
        <v>315</v>
      </c>
    </row>
    <row r="19" spans="1:15" ht="46.5" x14ac:dyDescent="0.35">
      <c r="A19" s="76" t="s">
        <v>47</v>
      </c>
      <c r="B19" s="76" t="s">
        <v>47</v>
      </c>
      <c r="C19" s="76" t="s">
        <v>309</v>
      </c>
      <c r="D19" s="76" t="s">
        <v>639</v>
      </c>
      <c r="E19" s="76">
        <v>1</v>
      </c>
      <c r="F19" s="77">
        <v>21000</v>
      </c>
      <c r="G19" s="76" t="s">
        <v>41</v>
      </c>
      <c r="H19" s="76" t="s">
        <v>42</v>
      </c>
      <c r="I19" s="76" t="s">
        <v>32</v>
      </c>
      <c r="J19" s="78">
        <v>2178</v>
      </c>
      <c r="K19" s="336">
        <v>2432</v>
      </c>
      <c r="L19" s="76">
        <v>2178</v>
      </c>
      <c r="M19" s="78"/>
      <c r="N19" s="76" t="s">
        <v>314</v>
      </c>
    </row>
    <row r="20" spans="1:15" ht="46.5" x14ac:dyDescent="0.35">
      <c r="A20" s="76" t="s">
        <v>47</v>
      </c>
      <c r="B20" s="76" t="s">
        <v>47</v>
      </c>
      <c r="C20" s="76" t="s">
        <v>48</v>
      </c>
      <c r="D20" s="76" t="s">
        <v>639</v>
      </c>
      <c r="E20" s="76">
        <v>1</v>
      </c>
      <c r="F20" s="77">
        <v>5599.88</v>
      </c>
      <c r="G20" s="76" t="s">
        <v>41</v>
      </c>
      <c r="H20" s="76" t="s">
        <v>42</v>
      </c>
      <c r="I20" s="76" t="s">
        <v>32</v>
      </c>
      <c r="J20" s="78">
        <v>5599.88</v>
      </c>
      <c r="K20" s="336">
        <v>2432</v>
      </c>
      <c r="L20" s="76">
        <v>5599.88</v>
      </c>
      <c r="M20" s="78"/>
      <c r="N20" s="76" t="s">
        <v>314</v>
      </c>
    </row>
    <row r="21" spans="1:15" ht="46.5" x14ac:dyDescent="0.35">
      <c r="A21" s="76" t="s">
        <v>49</v>
      </c>
      <c r="B21" s="76" t="s">
        <v>49</v>
      </c>
      <c r="C21" s="76" t="s">
        <v>50</v>
      </c>
      <c r="D21" s="76" t="s">
        <v>639</v>
      </c>
      <c r="E21" s="76">
        <v>2</v>
      </c>
      <c r="F21" s="77">
        <v>2000</v>
      </c>
      <c r="G21" s="76" t="s">
        <v>41</v>
      </c>
      <c r="H21" s="76" t="s">
        <v>42</v>
      </c>
      <c r="I21" s="76" t="s">
        <v>32</v>
      </c>
      <c r="J21" s="78">
        <v>2299</v>
      </c>
      <c r="K21" s="336">
        <v>2432</v>
      </c>
      <c r="L21" s="76">
        <v>2299</v>
      </c>
      <c r="M21" s="78"/>
      <c r="N21" s="76" t="s">
        <v>314</v>
      </c>
    </row>
    <row r="22" spans="1:15" ht="46.5" x14ac:dyDescent="0.35">
      <c r="A22" s="76" t="s">
        <v>51</v>
      </c>
      <c r="B22" s="76" t="s">
        <v>51</v>
      </c>
      <c r="C22" s="76" t="s">
        <v>52</v>
      </c>
      <c r="D22" s="76" t="s">
        <v>639</v>
      </c>
      <c r="E22" s="76">
        <v>1</v>
      </c>
      <c r="F22" s="77">
        <v>370</v>
      </c>
      <c r="G22" s="76" t="s">
        <v>41</v>
      </c>
      <c r="H22" s="76" t="s">
        <v>42</v>
      </c>
      <c r="I22" s="76" t="s">
        <v>32</v>
      </c>
      <c r="J22" s="78">
        <v>338.8</v>
      </c>
      <c r="K22" s="336">
        <v>2432</v>
      </c>
      <c r="L22" s="76">
        <v>338.8</v>
      </c>
      <c r="M22" s="78"/>
      <c r="N22" s="76" t="s">
        <v>314</v>
      </c>
    </row>
    <row r="23" spans="1:15" ht="36" customHeight="1" x14ac:dyDescent="0.35">
      <c r="B23" s="79" t="s">
        <v>55</v>
      </c>
      <c r="C23" s="80"/>
      <c r="D23" s="80" t="s">
        <v>639</v>
      </c>
      <c r="E23" s="81">
        <v>1</v>
      </c>
      <c r="F23" s="82">
        <v>70572.5</v>
      </c>
      <c r="G23" s="83"/>
      <c r="H23" s="83"/>
      <c r="I23" s="83"/>
      <c r="J23" s="84"/>
      <c r="K23" s="338"/>
      <c r="L23" s="83">
        <v>70572.5</v>
      </c>
      <c r="M23" s="84"/>
      <c r="N23" s="83" t="s">
        <v>661</v>
      </c>
    </row>
    <row r="24" spans="1:15" ht="63.75" customHeight="1" x14ac:dyDescent="0.35">
      <c r="A24" s="364" t="s">
        <v>675</v>
      </c>
      <c r="B24" s="76" t="s">
        <v>56</v>
      </c>
      <c r="C24" s="76"/>
      <c r="D24" s="76" t="s">
        <v>639</v>
      </c>
      <c r="E24" s="76">
        <v>1</v>
      </c>
      <c r="F24" s="77">
        <v>183</v>
      </c>
      <c r="G24" s="76" t="s">
        <v>57</v>
      </c>
      <c r="H24" s="76" t="s">
        <v>58</v>
      </c>
      <c r="I24" s="76" t="s">
        <v>59</v>
      </c>
      <c r="J24" s="78">
        <v>183</v>
      </c>
      <c r="K24" s="336">
        <v>2582</v>
      </c>
      <c r="L24" s="76">
        <v>183</v>
      </c>
      <c r="M24" s="78"/>
      <c r="N24" s="76" t="s">
        <v>314</v>
      </c>
    </row>
    <row r="25" spans="1:15" ht="62.25" customHeight="1" x14ac:dyDescent="0.35">
      <c r="A25" s="364" t="s">
        <v>675</v>
      </c>
      <c r="B25" s="76" t="s">
        <v>56</v>
      </c>
      <c r="C25" s="76"/>
      <c r="D25" s="76" t="s">
        <v>639</v>
      </c>
      <c r="E25" s="76">
        <v>1</v>
      </c>
      <c r="F25" s="77">
        <v>125</v>
      </c>
      <c r="G25" s="76" t="s">
        <v>57</v>
      </c>
      <c r="H25" s="76" t="s">
        <v>58</v>
      </c>
      <c r="I25" s="76" t="s">
        <v>59</v>
      </c>
      <c r="J25" s="78">
        <v>125</v>
      </c>
      <c r="K25" s="336">
        <v>2582</v>
      </c>
      <c r="L25" s="76">
        <v>125</v>
      </c>
      <c r="M25" s="78"/>
      <c r="N25" s="76" t="s">
        <v>314</v>
      </c>
    </row>
    <row r="26" spans="1:15" ht="42.75" customHeight="1" x14ac:dyDescent="0.35">
      <c r="A26" s="473" t="s">
        <v>325</v>
      </c>
      <c r="B26" s="473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9"/>
    </row>
    <row r="28" spans="1:15" x14ac:dyDescent="0.35">
      <c r="J28" s="42"/>
      <c r="K28" s="42"/>
    </row>
    <row r="31" spans="1:15" x14ac:dyDescent="0.35">
      <c r="I31" s="53"/>
    </row>
    <row r="35" spans="9:9" x14ac:dyDescent="0.35">
      <c r="I35" s="53"/>
    </row>
  </sheetData>
  <mergeCells count="14">
    <mergeCell ref="A2:B2"/>
    <mergeCell ref="A5:F5"/>
    <mergeCell ref="D6:D7"/>
    <mergeCell ref="A26:B26"/>
    <mergeCell ref="B4:N4"/>
    <mergeCell ref="G5:N5"/>
    <mergeCell ref="B6:B7"/>
    <mergeCell ref="C6:C7"/>
    <mergeCell ref="E6:E7"/>
    <mergeCell ref="F6:F7"/>
    <mergeCell ref="G6:J6"/>
    <mergeCell ref="N6:N7"/>
    <mergeCell ref="K6:M6"/>
    <mergeCell ref="A6:A7"/>
  </mergeCells>
  <pageMargins left="0.7" right="0.7" top="0.75" bottom="0.75" header="0.3" footer="0.3"/>
  <pageSetup paperSize="9" scale="2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182E-6A33-49E5-8C50-A0540225DA29}">
  <sheetPr>
    <tabColor rgb="FF00B0F0"/>
  </sheetPr>
  <dimension ref="A1:N58"/>
  <sheetViews>
    <sheetView view="pageBreakPreview" zoomScale="60" zoomScaleNormal="80" workbookViewId="0">
      <selection activeCell="B4" sqref="B4:N4"/>
    </sheetView>
  </sheetViews>
  <sheetFormatPr defaultColWidth="9.1796875" defaultRowHeight="14" x14ac:dyDescent="0.35"/>
  <cols>
    <col min="1" max="1" width="18.54296875" style="14" customWidth="1"/>
    <col min="2" max="2" width="17.453125" style="14" customWidth="1"/>
    <col min="3" max="3" width="25.1796875" style="14" customWidth="1"/>
    <col min="4" max="4" width="30.1796875" style="14" customWidth="1"/>
    <col min="5" max="5" width="10" style="14" customWidth="1"/>
    <col min="6" max="6" width="12.453125" style="14" customWidth="1"/>
    <col min="7" max="7" width="12.81640625" style="29" customWidth="1"/>
    <col min="8" max="8" width="16.453125" style="14" customWidth="1"/>
    <col min="9" max="9" width="21" style="14" customWidth="1"/>
    <col min="10" max="10" width="12.1796875" style="14" customWidth="1"/>
    <col min="11" max="11" width="14.26953125" style="14" customWidth="1"/>
    <col min="12" max="12" width="17.453125" style="14" customWidth="1"/>
    <col min="13" max="13" width="13" style="14" customWidth="1"/>
    <col min="14" max="14" width="32.81640625" style="14" customWidth="1"/>
    <col min="15" max="15" width="10" style="14" bestFit="1" customWidth="1"/>
    <col min="16" max="16384" width="9.1796875" style="14"/>
  </cols>
  <sheetData>
    <row r="1" spans="1:14" ht="15.5" x14ac:dyDescent="0.35">
      <c r="B1" s="11"/>
      <c r="C1" s="11"/>
      <c r="D1" s="11"/>
      <c r="E1" s="11"/>
      <c r="F1" s="11"/>
      <c r="G1" s="20"/>
      <c r="H1" s="11"/>
      <c r="I1" s="427"/>
      <c r="J1" s="55">
        <f>J39+J40+J41+J42+J43+J48</f>
        <v>3925.89</v>
      </c>
      <c r="K1" s="11"/>
      <c r="M1" s="11"/>
      <c r="N1" s="12"/>
    </row>
    <row r="2" spans="1:14" ht="15.75" customHeight="1" x14ac:dyDescent="0.35">
      <c r="A2" s="52" t="s">
        <v>383</v>
      </c>
      <c r="B2" s="52"/>
      <c r="C2" s="11"/>
      <c r="D2" s="11"/>
      <c r="E2" s="11"/>
      <c r="F2" s="11"/>
      <c r="G2" s="20"/>
      <c r="H2" s="11"/>
      <c r="I2" s="426"/>
      <c r="J2" s="289">
        <f>J10+J14+J19+J23+J24+J25+J26+J27+J28+J33+J37+J38+J46+J47</f>
        <v>116132.76</v>
      </c>
      <c r="K2" s="340"/>
      <c r="M2" s="11"/>
      <c r="N2" s="12"/>
    </row>
    <row r="3" spans="1:14" ht="16.5" customHeight="1" x14ac:dyDescent="0.35">
      <c r="B3" s="472"/>
      <c r="C3" s="472"/>
      <c r="D3" s="472"/>
      <c r="E3" s="472"/>
      <c r="F3" s="472"/>
      <c r="G3" s="20"/>
      <c r="H3" s="11"/>
      <c r="I3" s="425"/>
      <c r="J3" s="289">
        <f>J9+J11+J12+J13+J15+J16+J21+J22+J29+J30+J31+J34+J35+J36+J44+J45+J49+J50+J17+J32</f>
        <v>147256.54000000004</v>
      </c>
      <c r="K3" s="178"/>
      <c r="M3" s="11"/>
      <c r="N3" s="12"/>
    </row>
    <row r="4" spans="1:14" ht="36.75" customHeight="1" x14ac:dyDescent="0.35">
      <c r="B4" s="474" t="s">
        <v>18</v>
      </c>
      <c r="C4" s="474"/>
      <c r="D4" s="474"/>
      <c r="E4" s="474"/>
      <c r="F4" s="475"/>
      <c r="G4" s="476"/>
      <c r="H4" s="476"/>
      <c r="I4" s="476"/>
      <c r="J4" s="476"/>
      <c r="K4" s="476"/>
      <c r="L4" s="476"/>
      <c r="M4" s="476"/>
      <c r="N4" s="477"/>
    </row>
    <row r="5" spans="1:14" ht="35.25" customHeight="1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4" ht="43.5" customHeight="1" x14ac:dyDescent="0.35">
      <c r="A6" s="447" t="s">
        <v>612</v>
      </c>
      <c r="B6" s="447" t="s">
        <v>19</v>
      </c>
      <c r="C6" s="447" t="s">
        <v>20</v>
      </c>
      <c r="D6" s="447" t="s">
        <v>627</v>
      </c>
      <c r="E6" s="447" t="s">
        <v>21</v>
      </c>
      <c r="F6" s="447" t="s">
        <v>22</v>
      </c>
      <c r="G6" s="465" t="s">
        <v>279</v>
      </c>
      <c r="H6" s="466"/>
      <c r="I6" s="466"/>
      <c r="J6" s="467"/>
      <c r="K6" s="465" t="s">
        <v>278</v>
      </c>
      <c r="L6" s="466"/>
      <c r="M6" s="467"/>
      <c r="N6" s="447" t="s">
        <v>277</v>
      </c>
    </row>
    <row r="7" spans="1:14" ht="67.5" customHeight="1" x14ac:dyDescent="0.35">
      <c r="A7" s="448"/>
      <c r="B7" s="448"/>
      <c r="C7" s="448"/>
      <c r="D7" s="448"/>
      <c r="E7" s="448"/>
      <c r="F7" s="448"/>
      <c r="G7" s="22" t="s">
        <v>24</v>
      </c>
      <c r="H7" s="15" t="s">
        <v>25</v>
      </c>
      <c r="I7" s="15" t="s">
        <v>26</v>
      </c>
      <c r="J7" s="15" t="s">
        <v>27</v>
      </c>
      <c r="K7" s="325" t="s">
        <v>613</v>
      </c>
      <c r="L7" s="325" t="s">
        <v>614</v>
      </c>
      <c r="M7" s="325" t="s">
        <v>615</v>
      </c>
      <c r="N7" s="448"/>
    </row>
    <row r="8" spans="1:14" ht="39" customHeight="1" x14ac:dyDescent="0.35">
      <c r="A8" s="450" t="s">
        <v>28</v>
      </c>
      <c r="B8" s="451"/>
      <c r="C8" s="17" t="s">
        <v>29</v>
      </c>
      <c r="D8" s="17"/>
      <c r="E8" s="17"/>
      <c r="F8" s="36">
        <f>SUM(F9:F52)</f>
        <v>319171.04999999993</v>
      </c>
      <c r="G8" s="17" t="s">
        <v>29</v>
      </c>
      <c r="H8" s="17" t="s">
        <v>29</v>
      </c>
      <c r="I8" s="17" t="s">
        <v>29</v>
      </c>
      <c r="J8" s="36">
        <f>SUM(J9:J52)</f>
        <v>267315.19000000006</v>
      </c>
      <c r="K8" s="36"/>
      <c r="L8" s="36">
        <f>SUM(L9:L52)</f>
        <v>267315.19000000006</v>
      </c>
      <c r="M8" s="17"/>
      <c r="N8" s="17" t="s">
        <v>29</v>
      </c>
    </row>
    <row r="9" spans="1:14" ht="54.75" customHeight="1" x14ac:dyDescent="0.35">
      <c r="A9" s="384" t="s">
        <v>662</v>
      </c>
      <c r="B9" s="134" t="s">
        <v>87</v>
      </c>
      <c r="C9" s="135"/>
      <c r="D9" s="341" t="s">
        <v>639</v>
      </c>
      <c r="E9" s="136">
        <v>5</v>
      </c>
      <c r="F9" s="396">
        <v>15428</v>
      </c>
      <c r="G9" s="397">
        <v>10031</v>
      </c>
      <c r="H9" s="398">
        <v>44242</v>
      </c>
      <c r="I9" s="397" t="s">
        <v>227</v>
      </c>
      <c r="J9" s="396">
        <v>13019.6</v>
      </c>
      <c r="K9" s="396" t="s">
        <v>381</v>
      </c>
      <c r="L9" s="399">
        <v>13019.6</v>
      </c>
      <c r="M9" s="396"/>
      <c r="N9" s="137" t="s">
        <v>456</v>
      </c>
    </row>
    <row r="10" spans="1:14" ht="32.25" customHeight="1" x14ac:dyDescent="0.35">
      <c r="A10" s="385" t="s">
        <v>39</v>
      </c>
      <c r="B10" s="100" t="s">
        <v>39</v>
      </c>
      <c r="C10" s="101" t="s">
        <v>155</v>
      </c>
      <c r="D10" s="342" t="s">
        <v>639</v>
      </c>
      <c r="E10" s="97">
        <v>2</v>
      </c>
      <c r="F10" s="149">
        <v>12100</v>
      </c>
      <c r="G10" s="149">
        <v>168</v>
      </c>
      <c r="H10" s="149">
        <v>44349</v>
      </c>
      <c r="I10" s="149" t="s">
        <v>380</v>
      </c>
      <c r="J10" s="149">
        <v>14609.54</v>
      </c>
      <c r="K10" s="149" t="s">
        <v>379</v>
      </c>
      <c r="L10" s="149">
        <v>14609.54</v>
      </c>
      <c r="M10" s="149"/>
      <c r="N10" s="92"/>
    </row>
    <row r="11" spans="1:14" ht="46.5" customHeight="1" x14ac:dyDescent="0.35">
      <c r="A11" s="331" t="s">
        <v>47</v>
      </c>
      <c r="B11" s="138" t="s">
        <v>47</v>
      </c>
      <c r="C11" s="352" t="s">
        <v>94</v>
      </c>
      <c r="D11" s="343" t="s">
        <v>639</v>
      </c>
      <c r="E11" s="139">
        <v>5</v>
      </c>
      <c r="F11" s="396">
        <v>15125</v>
      </c>
      <c r="G11" s="397">
        <v>290743</v>
      </c>
      <c r="H11" s="398">
        <v>44211</v>
      </c>
      <c r="I11" s="397" t="s">
        <v>228</v>
      </c>
      <c r="J11" s="396">
        <v>9438</v>
      </c>
      <c r="K11" s="396" t="s">
        <v>378</v>
      </c>
      <c r="L11" s="399">
        <v>9438</v>
      </c>
      <c r="M11" s="396"/>
      <c r="N11" s="137" t="s">
        <v>314</v>
      </c>
    </row>
    <row r="12" spans="1:14" ht="49.5" customHeight="1" x14ac:dyDescent="0.35">
      <c r="A12" s="331" t="s">
        <v>47</v>
      </c>
      <c r="B12" s="142"/>
      <c r="C12" s="142" t="s">
        <v>95</v>
      </c>
      <c r="D12" s="344" t="s">
        <v>639</v>
      </c>
      <c r="E12" s="139">
        <v>20</v>
      </c>
      <c r="F12" s="396">
        <v>34000</v>
      </c>
      <c r="G12" s="397">
        <v>210464</v>
      </c>
      <c r="H12" s="398">
        <v>44278</v>
      </c>
      <c r="I12" s="397" t="s">
        <v>377</v>
      </c>
      <c r="J12" s="396">
        <v>28628.6</v>
      </c>
      <c r="K12" s="396" t="s">
        <v>376</v>
      </c>
      <c r="L12" s="399">
        <v>28628.6</v>
      </c>
      <c r="M12" s="396"/>
      <c r="N12" s="137" t="s">
        <v>456</v>
      </c>
    </row>
    <row r="13" spans="1:14" ht="47.25" customHeight="1" x14ac:dyDescent="0.35">
      <c r="A13" s="386" t="s">
        <v>79</v>
      </c>
      <c r="B13" s="147" t="s">
        <v>79</v>
      </c>
      <c r="C13" s="142" t="s">
        <v>79</v>
      </c>
      <c r="D13" s="344" t="s">
        <v>639</v>
      </c>
      <c r="E13" s="139">
        <v>10</v>
      </c>
      <c r="F13" s="396">
        <v>784</v>
      </c>
      <c r="G13" s="400" t="s">
        <v>229</v>
      </c>
      <c r="H13" s="398">
        <v>44258</v>
      </c>
      <c r="I13" s="397" t="s">
        <v>230</v>
      </c>
      <c r="J13" s="396">
        <f>F13</f>
        <v>784</v>
      </c>
      <c r="K13" s="396" t="s">
        <v>372</v>
      </c>
      <c r="L13" s="399">
        <v>784</v>
      </c>
      <c r="M13" s="396"/>
      <c r="N13" s="137" t="s">
        <v>314</v>
      </c>
    </row>
    <row r="14" spans="1:14" ht="16" customHeight="1" x14ac:dyDescent="0.35">
      <c r="A14" s="386" t="s">
        <v>79</v>
      </c>
      <c r="B14" s="98"/>
      <c r="C14" s="99" t="s">
        <v>79</v>
      </c>
      <c r="D14" s="342" t="s">
        <v>639</v>
      </c>
      <c r="E14" s="97">
        <v>10</v>
      </c>
      <c r="F14" s="401">
        <v>7216</v>
      </c>
      <c r="G14" s="402" t="s">
        <v>375</v>
      </c>
      <c r="H14" s="403">
        <v>44176</v>
      </c>
      <c r="I14" s="404" t="s">
        <v>230</v>
      </c>
      <c r="J14" s="401">
        <v>756</v>
      </c>
      <c r="K14" s="401" t="s">
        <v>374</v>
      </c>
      <c r="L14" s="405">
        <v>756</v>
      </c>
      <c r="M14" s="401"/>
      <c r="N14" s="92"/>
    </row>
    <row r="15" spans="1:14" ht="45" customHeight="1" x14ac:dyDescent="0.35">
      <c r="A15" s="387" t="s">
        <v>231</v>
      </c>
      <c r="B15" s="148" t="s">
        <v>231</v>
      </c>
      <c r="C15" s="358"/>
      <c r="D15" s="345" t="s">
        <v>639</v>
      </c>
      <c r="E15" s="139">
        <v>15</v>
      </c>
      <c r="F15" s="396">
        <v>47190</v>
      </c>
      <c r="G15" s="397">
        <v>210035</v>
      </c>
      <c r="H15" s="398">
        <v>44266</v>
      </c>
      <c r="I15" s="397" t="s">
        <v>232</v>
      </c>
      <c r="J15" s="396">
        <v>43287.75</v>
      </c>
      <c r="K15" s="396" t="s">
        <v>373</v>
      </c>
      <c r="L15" s="399">
        <v>43287.75</v>
      </c>
      <c r="M15" s="396"/>
      <c r="N15" s="137" t="s">
        <v>314</v>
      </c>
    </row>
    <row r="16" spans="1:14" ht="48" customHeight="1" x14ac:dyDescent="0.35">
      <c r="A16" s="388" t="s">
        <v>181</v>
      </c>
      <c r="B16" s="141"/>
      <c r="C16" s="357" t="s">
        <v>181</v>
      </c>
      <c r="D16" s="344" t="s">
        <v>639</v>
      </c>
      <c r="E16" s="139">
        <v>60</v>
      </c>
      <c r="F16" s="396">
        <v>9000</v>
      </c>
      <c r="G16" s="400" t="s">
        <v>233</v>
      </c>
      <c r="H16" s="398">
        <v>44258</v>
      </c>
      <c r="I16" s="397" t="s">
        <v>230</v>
      </c>
      <c r="J16" s="396">
        <v>4043.82</v>
      </c>
      <c r="K16" s="396" t="s">
        <v>372</v>
      </c>
      <c r="L16" s="399">
        <v>4043.82</v>
      </c>
      <c r="M16" s="396"/>
      <c r="N16" s="137" t="s">
        <v>314</v>
      </c>
    </row>
    <row r="17" spans="1:14" ht="28.5" customHeight="1" x14ac:dyDescent="0.35">
      <c r="A17" s="386" t="s">
        <v>161</v>
      </c>
      <c r="B17" s="142"/>
      <c r="C17" s="142" t="s">
        <v>161</v>
      </c>
      <c r="D17" s="344" t="s">
        <v>639</v>
      </c>
      <c r="E17" s="139">
        <v>35</v>
      </c>
      <c r="F17" s="396">
        <v>33033</v>
      </c>
      <c r="G17" s="397">
        <v>285041</v>
      </c>
      <c r="H17" s="398">
        <v>44245</v>
      </c>
      <c r="I17" s="397" t="s">
        <v>234</v>
      </c>
      <c r="J17" s="396">
        <f>F17</f>
        <v>33033</v>
      </c>
      <c r="K17" s="396" t="s">
        <v>371</v>
      </c>
      <c r="L17" s="399">
        <v>33033</v>
      </c>
      <c r="M17" s="396"/>
      <c r="N17" s="137" t="s">
        <v>314</v>
      </c>
    </row>
    <row r="18" spans="1:14" ht="36.75" customHeight="1" x14ac:dyDescent="0.35">
      <c r="A18" s="60"/>
      <c r="B18" s="60"/>
      <c r="C18" s="60" t="s">
        <v>161</v>
      </c>
      <c r="D18" s="346" t="s">
        <v>639</v>
      </c>
      <c r="E18" s="146">
        <v>5</v>
      </c>
      <c r="F18" s="407">
        <v>10527</v>
      </c>
      <c r="G18" s="408"/>
      <c r="H18" s="409"/>
      <c r="I18" s="409"/>
      <c r="J18" s="407"/>
      <c r="K18" s="407"/>
      <c r="L18" s="410"/>
      <c r="M18" s="407"/>
      <c r="N18" s="18" t="s">
        <v>369</v>
      </c>
    </row>
    <row r="19" spans="1:14" ht="33" customHeight="1" x14ac:dyDescent="0.35">
      <c r="A19" s="331" t="s">
        <v>663</v>
      </c>
      <c r="B19" s="101"/>
      <c r="C19" s="360" t="s">
        <v>235</v>
      </c>
      <c r="D19" s="342" t="s">
        <v>639</v>
      </c>
      <c r="E19" s="97">
        <v>20</v>
      </c>
      <c r="F19" s="401">
        <v>12100</v>
      </c>
      <c r="G19" s="404">
        <v>21480</v>
      </c>
      <c r="H19" s="403">
        <v>44349</v>
      </c>
      <c r="I19" s="404" t="s">
        <v>230</v>
      </c>
      <c r="J19" s="401">
        <v>3993</v>
      </c>
      <c r="K19" s="401" t="s">
        <v>370</v>
      </c>
      <c r="L19" s="406">
        <v>3993</v>
      </c>
      <c r="M19" s="401"/>
      <c r="N19" s="92"/>
    </row>
    <row r="20" spans="1:14" ht="35.25" customHeight="1" x14ac:dyDescent="0.35">
      <c r="A20" s="347"/>
      <c r="B20" s="58" t="s">
        <v>236</v>
      </c>
      <c r="C20" s="60" t="s">
        <v>237</v>
      </c>
      <c r="D20" s="346" t="s">
        <v>639</v>
      </c>
      <c r="E20" s="146">
        <v>2</v>
      </c>
      <c r="F20" s="407">
        <v>3630</v>
      </c>
      <c r="G20" s="409"/>
      <c r="H20" s="409"/>
      <c r="I20" s="409"/>
      <c r="J20" s="407"/>
      <c r="K20" s="407"/>
      <c r="L20" s="410"/>
      <c r="M20" s="407"/>
      <c r="N20" s="18" t="s">
        <v>369</v>
      </c>
    </row>
    <row r="21" spans="1:14" ht="48.75" customHeight="1" x14ac:dyDescent="0.35">
      <c r="A21" s="331" t="s">
        <v>665</v>
      </c>
      <c r="B21" s="352" t="s">
        <v>238</v>
      </c>
      <c r="C21" s="142"/>
      <c r="D21" s="344" t="s">
        <v>639</v>
      </c>
      <c r="E21" s="139">
        <v>10</v>
      </c>
      <c r="F21" s="396">
        <v>3000</v>
      </c>
      <c r="G21" s="397">
        <v>338</v>
      </c>
      <c r="H21" s="398">
        <v>44257</v>
      </c>
      <c r="I21" s="397" t="s">
        <v>239</v>
      </c>
      <c r="J21" s="396">
        <v>3551.35</v>
      </c>
      <c r="K21" s="396" t="s">
        <v>368</v>
      </c>
      <c r="L21" s="399">
        <v>3551.35</v>
      </c>
      <c r="M21" s="396"/>
      <c r="N21" s="137" t="s">
        <v>314</v>
      </c>
    </row>
    <row r="22" spans="1:14" ht="47.25" customHeight="1" x14ac:dyDescent="0.35">
      <c r="A22" s="331" t="s">
        <v>664</v>
      </c>
      <c r="B22" s="352" t="s">
        <v>240</v>
      </c>
      <c r="C22" s="142"/>
      <c r="D22" s="344" t="s">
        <v>639</v>
      </c>
      <c r="E22" s="139">
        <v>3</v>
      </c>
      <c r="F22" s="396">
        <v>179.93</v>
      </c>
      <c r="G22" s="397">
        <v>106182</v>
      </c>
      <c r="H22" s="398">
        <v>44224</v>
      </c>
      <c r="I22" s="397" t="s">
        <v>241</v>
      </c>
      <c r="J22" s="396">
        <f>F22</f>
        <v>179.93</v>
      </c>
      <c r="K22" s="396" t="s">
        <v>367</v>
      </c>
      <c r="L22" s="411">
        <v>179.93</v>
      </c>
      <c r="M22" s="396"/>
      <c r="N22" s="137" t="s">
        <v>314</v>
      </c>
    </row>
    <row r="23" spans="1:14" ht="27" customHeight="1" x14ac:dyDescent="0.35">
      <c r="A23" s="331" t="s">
        <v>664</v>
      </c>
      <c r="B23" s="100" t="s">
        <v>240</v>
      </c>
      <c r="C23" s="101"/>
      <c r="D23" s="342" t="s">
        <v>639</v>
      </c>
      <c r="E23" s="97">
        <v>6</v>
      </c>
      <c r="F23" s="401">
        <v>240.07</v>
      </c>
      <c r="G23" s="404">
        <v>108342</v>
      </c>
      <c r="H23" s="403">
        <v>44278</v>
      </c>
      <c r="I23" s="404" t="s">
        <v>241</v>
      </c>
      <c r="J23" s="401">
        <v>613.47</v>
      </c>
      <c r="K23" s="401" t="s">
        <v>366</v>
      </c>
      <c r="L23" s="406">
        <v>613.47</v>
      </c>
      <c r="M23" s="401"/>
      <c r="N23" s="92"/>
    </row>
    <row r="24" spans="1:14" ht="38.25" customHeight="1" x14ac:dyDescent="0.35">
      <c r="A24" s="386" t="s">
        <v>666</v>
      </c>
      <c r="B24" s="96" t="s">
        <v>242</v>
      </c>
      <c r="C24" s="101" t="s">
        <v>106</v>
      </c>
      <c r="D24" s="342" t="s">
        <v>639</v>
      </c>
      <c r="E24" s="97">
        <v>15</v>
      </c>
      <c r="F24" s="401">
        <v>3750</v>
      </c>
      <c r="G24" s="404">
        <v>109622</v>
      </c>
      <c r="H24" s="412">
        <v>44312</v>
      </c>
      <c r="I24" s="404" t="s">
        <v>241</v>
      </c>
      <c r="J24" s="401">
        <v>8076.75</v>
      </c>
      <c r="K24" s="401" t="s">
        <v>361</v>
      </c>
      <c r="L24" s="406">
        <v>8076.75</v>
      </c>
      <c r="M24" s="401"/>
      <c r="N24" s="92"/>
    </row>
    <row r="25" spans="1:14" ht="36" customHeight="1" x14ac:dyDescent="0.35">
      <c r="A25" s="386" t="s">
        <v>667</v>
      </c>
      <c r="B25" s="103"/>
      <c r="C25" s="101" t="s">
        <v>107</v>
      </c>
      <c r="D25" s="342" t="s">
        <v>639</v>
      </c>
      <c r="E25" s="97">
        <v>15</v>
      </c>
      <c r="F25" s="401">
        <v>54450</v>
      </c>
      <c r="G25" s="404">
        <v>298539</v>
      </c>
      <c r="H25" s="412">
        <v>44312</v>
      </c>
      <c r="I25" s="405" t="s">
        <v>228</v>
      </c>
      <c r="J25" s="401">
        <v>26498.32</v>
      </c>
      <c r="K25" s="401" t="s">
        <v>365</v>
      </c>
      <c r="L25" s="406">
        <v>26498.32</v>
      </c>
      <c r="M25" s="401"/>
      <c r="N25" s="92"/>
    </row>
    <row r="26" spans="1:14" s="13" customFormat="1" ht="33.75" customHeight="1" x14ac:dyDescent="0.35">
      <c r="A26" s="386" t="s">
        <v>243</v>
      </c>
      <c r="B26" s="103"/>
      <c r="C26" s="101" t="s">
        <v>243</v>
      </c>
      <c r="D26" s="342" t="s">
        <v>639</v>
      </c>
      <c r="E26" s="97">
        <v>15</v>
      </c>
      <c r="F26" s="401">
        <v>3750</v>
      </c>
      <c r="G26" s="404">
        <v>12099</v>
      </c>
      <c r="H26" s="403">
        <v>44396</v>
      </c>
      <c r="I26" s="404" t="s">
        <v>364</v>
      </c>
      <c r="J26" s="401">
        <v>8712</v>
      </c>
      <c r="K26" s="401" t="s">
        <v>363</v>
      </c>
      <c r="L26" s="405">
        <v>8712</v>
      </c>
      <c r="M26" s="401"/>
      <c r="N26" s="104"/>
    </row>
    <row r="27" spans="1:14" s="13" customFormat="1" ht="33" customHeight="1" x14ac:dyDescent="0.35">
      <c r="A27" s="386" t="s">
        <v>668</v>
      </c>
      <c r="B27" s="103"/>
      <c r="C27" s="101" t="s">
        <v>244</v>
      </c>
      <c r="D27" s="342" t="s">
        <v>639</v>
      </c>
      <c r="E27" s="97">
        <v>10</v>
      </c>
      <c r="F27" s="401">
        <v>3000</v>
      </c>
      <c r="G27" s="404">
        <v>210700231</v>
      </c>
      <c r="H27" s="403">
        <v>44391</v>
      </c>
      <c r="I27" s="404" t="s">
        <v>346</v>
      </c>
      <c r="J27" s="401">
        <v>2117.5</v>
      </c>
      <c r="K27" s="401" t="s">
        <v>362</v>
      </c>
      <c r="L27" s="405">
        <v>2117.5</v>
      </c>
      <c r="M27" s="401"/>
      <c r="N27" s="104"/>
    </row>
    <row r="28" spans="1:14" ht="36" customHeight="1" x14ac:dyDescent="0.35">
      <c r="A28" s="386" t="s">
        <v>620</v>
      </c>
      <c r="B28" s="105"/>
      <c r="C28" s="101" t="s">
        <v>245</v>
      </c>
      <c r="D28" s="342" t="s">
        <v>639</v>
      </c>
      <c r="E28" s="97">
        <v>4</v>
      </c>
      <c r="F28" s="401">
        <v>8518</v>
      </c>
      <c r="G28" s="404">
        <v>109622</v>
      </c>
      <c r="H28" s="412">
        <v>44312</v>
      </c>
      <c r="I28" s="404" t="s">
        <v>241</v>
      </c>
      <c r="J28" s="401">
        <v>39626.699999999997</v>
      </c>
      <c r="K28" s="401" t="s">
        <v>361</v>
      </c>
      <c r="L28" s="406">
        <v>39626.699999999997</v>
      </c>
      <c r="M28" s="401"/>
      <c r="N28" s="92"/>
    </row>
    <row r="29" spans="1:14" ht="64.5" customHeight="1" x14ac:dyDescent="0.35">
      <c r="A29" s="331" t="s">
        <v>669</v>
      </c>
      <c r="B29" s="138" t="s">
        <v>246</v>
      </c>
      <c r="C29" s="357" t="s">
        <v>247</v>
      </c>
      <c r="D29" s="344" t="s">
        <v>639</v>
      </c>
      <c r="E29" s="139">
        <v>4</v>
      </c>
      <c r="F29" s="396">
        <v>199.46</v>
      </c>
      <c r="G29" s="397">
        <v>2020624</v>
      </c>
      <c r="H29" s="398">
        <v>44179</v>
      </c>
      <c r="I29" s="397" t="s">
        <v>360</v>
      </c>
      <c r="J29" s="396">
        <f>F29</f>
        <v>199.46</v>
      </c>
      <c r="K29" s="396" t="s">
        <v>359</v>
      </c>
      <c r="L29" s="399">
        <v>199.46</v>
      </c>
      <c r="M29" s="396"/>
      <c r="N29" s="137" t="s">
        <v>456</v>
      </c>
    </row>
    <row r="30" spans="1:14" s="13" customFormat="1" ht="62.25" customHeight="1" x14ac:dyDescent="0.35">
      <c r="A30" s="331" t="s">
        <v>669</v>
      </c>
      <c r="B30" s="142"/>
      <c r="C30" s="357" t="s">
        <v>358</v>
      </c>
      <c r="D30" s="344" t="s">
        <v>639</v>
      </c>
      <c r="E30" s="139">
        <v>14</v>
      </c>
      <c r="F30" s="396">
        <v>3400.54</v>
      </c>
      <c r="G30" s="397">
        <v>880</v>
      </c>
      <c r="H30" s="398">
        <v>44330</v>
      </c>
      <c r="I30" s="397" t="s">
        <v>357</v>
      </c>
      <c r="J30" s="396">
        <v>438.6</v>
      </c>
      <c r="K30" s="396" t="s">
        <v>356</v>
      </c>
      <c r="L30" s="411">
        <v>438.6</v>
      </c>
      <c r="M30" s="396"/>
      <c r="N30" s="137" t="s">
        <v>314</v>
      </c>
    </row>
    <row r="31" spans="1:14" ht="46.5" x14ac:dyDescent="0.35">
      <c r="A31" s="389" t="s">
        <v>248</v>
      </c>
      <c r="B31" s="142"/>
      <c r="C31" s="140" t="s">
        <v>248</v>
      </c>
      <c r="D31" s="140" t="s">
        <v>639</v>
      </c>
      <c r="E31" s="142">
        <v>100</v>
      </c>
      <c r="F31" s="396">
        <v>1200</v>
      </c>
      <c r="G31" s="397">
        <v>1785</v>
      </c>
      <c r="H31" s="398">
        <v>44263</v>
      </c>
      <c r="I31" s="397" t="s">
        <v>249</v>
      </c>
      <c r="J31" s="396">
        <v>223.85</v>
      </c>
      <c r="K31" s="396" t="s">
        <v>355</v>
      </c>
      <c r="L31" s="411">
        <v>223.85</v>
      </c>
      <c r="M31" s="396"/>
      <c r="N31" s="137" t="s">
        <v>314</v>
      </c>
    </row>
    <row r="32" spans="1:14" ht="46.5" x14ac:dyDescent="0.35">
      <c r="A32" s="389" t="s">
        <v>250</v>
      </c>
      <c r="B32" s="142"/>
      <c r="C32" s="140" t="s">
        <v>250</v>
      </c>
      <c r="D32" s="140" t="s">
        <v>639</v>
      </c>
      <c r="E32" s="142">
        <v>100</v>
      </c>
      <c r="F32" s="396">
        <v>1000</v>
      </c>
      <c r="G32" s="397">
        <v>1785</v>
      </c>
      <c r="H32" s="398">
        <v>44263</v>
      </c>
      <c r="I32" s="397" t="s">
        <v>249</v>
      </c>
      <c r="J32" s="396">
        <v>471.91</v>
      </c>
      <c r="K32" s="396" t="s">
        <v>355</v>
      </c>
      <c r="L32" s="411">
        <v>471.91</v>
      </c>
      <c r="M32" s="396"/>
      <c r="N32" s="137" t="s">
        <v>314</v>
      </c>
    </row>
    <row r="33" spans="1:14" ht="26.25" customHeight="1" x14ac:dyDescent="0.35">
      <c r="A33" s="389" t="s">
        <v>110</v>
      </c>
      <c r="B33" s="101"/>
      <c r="C33" s="99" t="s">
        <v>110</v>
      </c>
      <c r="D33" s="99" t="s">
        <v>639</v>
      </c>
      <c r="E33" s="101">
        <v>4</v>
      </c>
      <c r="F33" s="401">
        <v>4840</v>
      </c>
      <c r="G33" s="404" t="s">
        <v>354</v>
      </c>
      <c r="H33" s="413">
        <v>44312</v>
      </c>
      <c r="I33" s="406" t="s">
        <v>230</v>
      </c>
      <c r="J33" s="401">
        <v>784.08</v>
      </c>
      <c r="K33" s="401" t="s">
        <v>353</v>
      </c>
      <c r="L33" s="405">
        <v>784.08</v>
      </c>
      <c r="M33" s="401"/>
      <c r="N33" s="92"/>
    </row>
    <row r="34" spans="1:14" ht="46.5" x14ac:dyDescent="0.35">
      <c r="A34" s="390" t="s">
        <v>251</v>
      </c>
      <c r="B34" s="140" t="s">
        <v>251</v>
      </c>
      <c r="C34" s="136"/>
      <c r="D34" s="136" t="s">
        <v>639</v>
      </c>
      <c r="E34" s="142">
        <v>5</v>
      </c>
      <c r="F34" s="396">
        <v>750</v>
      </c>
      <c r="G34" s="411">
        <v>410936</v>
      </c>
      <c r="H34" s="265">
        <v>44265</v>
      </c>
      <c r="I34" s="411" t="s">
        <v>253</v>
      </c>
      <c r="J34" s="396">
        <v>570.64</v>
      </c>
      <c r="K34" s="396" t="s">
        <v>352</v>
      </c>
      <c r="L34" s="411">
        <v>570.64</v>
      </c>
      <c r="M34" s="396"/>
      <c r="N34" s="137" t="s">
        <v>314</v>
      </c>
    </row>
    <row r="35" spans="1:14" ht="46.5" x14ac:dyDescent="0.35">
      <c r="A35" s="390" t="s">
        <v>254</v>
      </c>
      <c r="B35" s="354" t="s">
        <v>254</v>
      </c>
      <c r="C35" s="136"/>
      <c r="D35" s="136" t="s">
        <v>639</v>
      </c>
      <c r="E35" s="142">
        <v>1</v>
      </c>
      <c r="F35" s="396">
        <v>338.45</v>
      </c>
      <c r="G35" s="411">
        <v>109435</v>
      </c>
      <c r="H35" s="265">
        <v>44308</v>
      </c>
      <c r="I35" s="411" t="s">
        <v>241</v>
      </c>
      <c r="J35" s="396">
        <v>7256.37</v>
      </c>
      <c r="K35" s="396" t="s">
        <v>350</v>
      </c>
      <c r="L35" s="411">
        <v>7256.37</v>
      </c>
      <c r="M35" s="396"/>
      <c r="N35" s="137" t="s">
        <v>456</v>
      </c>
    </row>
    <row r="36" spans="1:14" ht="46.5" x14ac:dyDescent="0.35">
      <c r="A36" s="390" t="s">
        <v>254</v>
      </c>
      <c r="B36" s="354" t="s">
        <v>254</v>
      </c>
      <c r="C36" s="136"/>
      <c r="D36" s="136" t="s">
        <v>639</v>
      </c>
      <c r="E36" s="142">
        <v>2</v>
      </c>
      <c r="F36" s="396">
        <v>1461.55</v>
      </c>
      <c r="G36" s="414">
        <v>108168</v>
      </c>
      <c r="H36" s="265">
        <v>44273</v>
      </c>
      <c r="I36" s="411" t="s">
        <v>241</v>
      </c>
      <c r="J36" s="396">
        <v>1461.55</v>
      </c>
      <c r="K36" s="396" t="s">
        <v>349</v>
      </c>
      <c r="L36" s="399">
        <v>1461.55</v>
      </c>
      <c r="M36" s="396"/>
      <c r="N36" s="137" t="s">
        <v>456</v>
      </c>
    </row>
    <row r="37" spans="1:14" ht="39" x14ac:dyDescent="0.35">
      <c r="A37" s="390" t="s">
        <v>670</v>
      </c>
      <c r="B37" s="356" t="s">
        <v>256</v>
      </c>
      <c r="C37" s="102"/>
      <c r="D37" s="102" t="s">
        <v>639</v>
      </c>
      <c r="E37" s="101">
        <v>20</v>
      </c>
      <c r="F37" s="401">
        <v>6000</v>
      </c>
      <c r="G37" s="405">
        <v>373</v>
      </c>
      <c r="H37" s="412">
        <v>44316</v>
      </c>
      <c r="I37" s="405" t="s">
        <v>348</v>
      </c>
      <c r="J37" s="401">
        <v>2010.16</v>
      </c>
      <c r="K37" s="401" t="s">
        <v>347</v>
      </c>
      <c r="L37" s="406">
        <v>2010.16</v>
      </c>
      <c r="M37" s="401"/>
      <c r="N37" s="92"/>
    </row>
    <row r="38" spans="1:14" ht="15.5" x14ac:dyDescent="0.35">
      <c r="A38" s="390" t="s">
        <v>257</v>
      </c>
      <c r="B38" s="481" t="s">
        <v>257</v>
      </c>
      <c r="C38" s="482"/>
      <c r="D38" s="295" t="s">
        <v>639</v>
      </c>
      <c r="E38" s="101">
        <v>60</v>
      </c>
      <c r="F38" s="401">
        <v>9000</v>
      </c>
      <c r="G38" s="405">
        <v>210500169</v>
      </c>
      <c r="H38" s="412">
        <v>44327</v>
      </c>
      <c r="I38" s="405" t="s">
        <v>346</v>
      </c>
      <c r="J38" s="401">
        <v>2293.44</v>
      </c>
      <c r="K38" s="401" t="s">
        <v>345</v>
      </c>
      <c r="L38" s="406">
        <v>2293.44</v>
      </c>
      <c r="M38" s="401"/>
      <c r="N38" s="92"/>
    </row>
    <row r="39" spans="1:14" ht="31" x14ac:dyDescent="0.35">
      <c r="A39" s="347"/>
      <c r="B39" s="93"/>
      <c r="C39" s="355" t="s">
        <v>258</v>
      </c>
      <c r="D39" s="94" t="s">
        <v>639</v>
      </c>
      <c r="E39" s="95">
        <v>1</v>
      </c>
      <c r="F39" s="415">
        <v>188.76</v>
      </c>
      <c r="G39" s="416">
        <v>311886</v>
      </c>
      <c r="H39" s="417">
        <v>44147</v>
      </c>
      <c r="I39" s="416" t="s">
        <v>340</v>
      </c>
      <c r="J39" s="415">
        <v>188.76</v>
      </c>
      <c r="K39" s="415" t="s">
        <v>339</v>
      </c>
      <c r="L39" s="416">
        <v>188.76</v>
      </c>
      <c r="M39" s="415"/>
      <c r="N39" s="85" t="s">
        <v>315</v>
      </c>
    </row>
    <row r="40" spans="1:14" ht="31" x14ac:dyDescent="0.35">
      <c r="A40" s="347"/>
      <c r="B40" s="93"/>
      <c r="C40" s="94" t="s">
        <v>259</v>
      </c>
      <c r="D40" s="94" t="s">
        <v>639</v>
      </c>
      <c r="E40" s="95">
        <v>1</v>
      </c>
      <c r="F40" s="415">
        <v>94.38</v>
      </c>
      <c r="G40" s="416">
        <v>98549</v>
      </c>
      <c r="H40" s="417">
        <v>44165</v>
      </c>
      <c r="I40" s="416" t="s">
        <v>344</v>
      </c>
      <c r="J40" s="415">
        <v>94.38</v>
      </c>
      <c r="K40" s="415" t="s">
        <v>343</v>
      </c>
      <c r="L40" s="416">
        <v>94.38</v>
      </c>
      <c r="M40" s="415"/>
      <c r="N40" s="85" t="s">
        <v>315</v>
      </c>
    </row>
    <row r="41" spans="1:14" ht="31" x14ac:dyDescent="0.35">
      <c r="A41" s="347"/>
      <c r="B41" s="93"/>
      <c r="C41" s="355" t="s">
        <v>260</v>
      </c>
      <c r="D41" s="94" t="s">
        <v>639</v>
      </c>
      <c r="E41" s="95">
        <v>3</v>
      </c>
      <c r="F41" s="415">
        <v>865.5</v>
      </c>
      <c r="G41" s="416">
        <v>200200</v>
      </c>
      <c r="H41" s="417">
        <v>44160</v>
      </c>
      <c r="I41" s="416" t="s">
        <v>342</v>
      </c>
      <c r="J41" s="415">
        <v>865.5</v>
      </c>
      <c r="K41" s="415" t="s">
        <v>341</v>
      </c>
      <c r="L41" s="416">
        <v>865.5</v>
      </c>
      <c r="M41" s="415"/>
      <c r="N41" s="85" t="s">
        <v>315</v>
      </c>
    </row>
    <row r="42" spans="1:14" ht="31" x14ac:dyDescent="0.35">
      <c r="A42" s="347"/>
      <c r="B42" s="93"/>
      <c r="C42" s="355" t="s">
        <v>261</v>
      </c>
      <c r="D42" s="94" t="s">
        <v>639</v>
      </c>
      <c r="E42" s="95">
        <v>6</v>
      </c>
      <c r="F42" s="415">
        <v>81.05</v>
      </c>
      <c r="G42" s="416">
        <v>312045</v>
      </c>
      <c r="H42" s="417">
        <v>44152</v>
      </c>
      <c r="I42" s="416" t="s">
        <v>340</v>
      </c>
      <c r="J42" s="415">
        <v>81.040000000000006</v>
      </c>
      <c r="K42" s="415" t="s">
        <v>339</v>
      </c>
      <c r="L42" s="416">
        <v>81.040000000000006</v>
      </c>
      <c r="M42" s="415"/>
      <c r="N42" s="85" t="s">
        <v>315</v>
      </c>
    </row>
    <row r="43" spans="1:14" ht="31" x14ac:dyDescent="0.35">
      <c r="A43" s="347"/>
      <c r="B43" s="93"/>
      <c r="C43" s="94" t="s">
        <v>262</v>
      </c>
      <c r="D43" s="94" t="s">
        <v>639</v>
      </c>
      <c r="E43" s="95">
        <v>5</v>
      </c>
      <c r="F43" s="415">
        <v>1615.92</v>
      </c>
      <c r="G43" s="416" t="s">
        <v>338</v>
      </c>
      <c r="H43" s="417">
        <v>44165</v>
      </c>
      <c r="I43" s="416" t="s">
        <v>337</v>
      </c>
      <c r="J43" s="415">
        <v>1615.92</v>
      </c>
      <c r="K43" s="415" t="s">
        <v>336</v>
      </c>
      <c r="L43" s="416">
        <v>1615.92</v>
      </c>
      <c r="M43" s="415"/>
      <c r="N43" s="85" t="s">
        <v>315</v>
      </c>
    </row>
    <row r="44" spans="1:14" ht="46.5" x14ac:dyDescent="0.35">
      <c r="A44" s="390" t="s">
        <v>671</v>
      </c>
      <c r="B44" s="141"/>
      <c r="C44" s="354" t="s">
        <v>263</v>
      </c>
      <c r="D44" s="140" t="s">
        <v>639</v>
      </c>
      <c r="E44" s="142">
        <v>2</v>
      </c>
      <c r="F44" s="396">
        <v>368.85</v>
      </c>
      <c r="G44" s="418">
        <v>686201</v>
      </c>
      <c r="H44" s="419">
        <v>44181</v>
      </c>
      <c r="I44" s="399" t="s">
        <v>264</v>
      </c>
      <c r="J44" s="396">
        <f>F44</f>
        <v>368.85</v>
      </c>
      <c r="K44" s="396" t="s">
        <v>335</v>
      </c>
      <c r="L44" s="399">
        <v>368.85</v>
      </c>
      <c r="M44" s="396"/>
      <c r="N44" s="137" t="s">
        <v>314</v>
      </c>
    </row>
    <row r="45" spans="1:14" ht="46.5" x14ac:dyDescent="0.35">
      <c r="A45" s="390" t="s">
        <v>671</v>
      </c>
      <c r="B45" s="141"/>
      <c r="C45" s="354" t="s">
        <v>263</v>
      </c>
      <c r="D45" s="140" t="s">
        <v>639</v>
      </c>
      <c r="E45" s="142">
        <v>2</v>
      </c>
      <c r="F45" s="396">
        <v>269</v>
      </c>
      <c r="G45" s="418">
        <v>687192</v>
      </c>
      <c r="H45" s="419">
        <v>44263</v>
      </c>
      <c r="I45" s="399" t="s">
        <v>264</v>
      </c>
      <c r="J45" s="396">
        <v>202.96</v>
      </c>
      <c r="K45" s="396" t="s">
        <v>334</v>
      </c>
      <c r="L45" s="411">
        <v>202.96</v>
      </c>
      <c r="M45" s="396"/>
      <c r="N45" s="137" t="s">
        <v>314</v>
      </c>
    </row>
    <row r="46" spans="1:14" ht="15.5" x14ac:dyDescent="0.35">
      <c r="A46" s="331" t="s">
        <v>671</v>
      </c>
      <c r="B46" s="99" t="s">
        <v>265</v>
      </c>
      <c r="C46" s="102"/>
      <c r="D46" s="102" t="s">
        <v>639</v>
      </c>
      <c r="E46" s="101">
        <v>30</v>
      </c>
      <c r="F46" s="401">
        <v>5534.4</v>
      </c>
      <c r="G46" s="420">
        <v>687192</v>
      </c>
      <c r="H46" s="413">
        <v>44263</v>
      </c>
      <c r="I46" s="406" t="s">
        <v>264</v>
      </c>
      <c r="J46" s="401">
        <v>5534.4</v>
      </c>
      <c r="K46" s="401" t="s">
        <v>334</v>
      </c>
      <c r="L46" s="405">
        <v>5534.4</v>
      </c>
      <c r="M46" s="401"/>
      <c r="N46" s="92"/>
    </row>
    <row r="47" spans="1:14" ht="15.5" x14ac:dyDescent="0.35">
      <c r="A47" s="331" t="s">
        <v>671</v>
      </c>
      <c r="B47" s="99" t="s">
        <v>265</v>
      </c>
      <c r="C47" s="102"/>
      <c r="D47" s="102" t="s">
        <v>639</v>
      </c>
      <c r="E47" s="101">
        <v>5</v>
      </c>
      <c r="F47" s="401">
        <v>465.6</v>
      </c>
      <c r="G47" s="420">
        <v>687192</v>
      </c>
      <c r="H47" s="413">
        <v>44263</v>
      </c>
      <c r="I47" s="406" t="s">
        <v>264</v>
      </c>
      <c r="J47" s="401">
        <v>507.4</v>
      </c>
      <c r="K47" s="401" t="s">
        <v>334</v>
      </c>
      <c r="L47" s="405">
        <v>507.4</v>
      </c>
      <c r="M47" s="401"/>
      <c r="N47" s="92"/>
    </row>
    <row r="48" spans="1:14" ht="36" customHeight="1" x14ac:dyDescent="0.35">
      <c r="A48" s="347"/>
      <c r="B48" s="93"/>
      <c r="C48" s="94" t="s">
        <v>266</v>
      </c>
      <c r="D48" s="94" t="s">
        <v>639</v>
      </c>
      <c r="E48" s="95">
        <v>60</v>
      </c>
      <c r="F48" s="415">
        <v>1080.29</v>
      </c>
      <c r="G48" s="416">
        <v>20102847</v>
      </c>
      <c r="H48" s="417">
        <v>44162</v>
      </c>
      <c r="I48" s="416" t="s">
        <v>333</v>
      </c>
      <c r="J48" s="415">
        <v>1080.29</v>
      </c>
      <c r="K48" s="415" t="s">
        <v>332</v>
      </c>
      <c r="L48" s="416">
        <v>1080.29</v>
      </c>
      <c r="M48" s="415"/>
      <c r="N48" s="85" t="s">
        <v>315</v>
      </c>
    </row>
    <row r="49" spans="1:14" ht="46.5" x14ac:dyDescent="0.35">
      <c r="A49" s="331" t="s">
        <v>672</v>
      </c>
      <c r="B49" s="141"/>
      <c r="C49" s="354" t="s">
        <v>267</v>
      </c>
      <c r="D49" s="140" t="s">
        <v>639</v>
      </c>
      <c r="E49" s="142">
        <v>1</v>
      </c>
      <c r="F49" s="396">
        <v>60</v>
      </c>
      <c r="G49" s="411">
        <v>823982</v>
      </c>
      <c r="H49" s="265">
        <v>44182</v>
      </c>
      <c r="I49" s="411" t="s">
        <v>268</v>
      </c>
      <c r="J49" s="396">
        <f>F49</f>
        <v>60</v>
      </c>
      <c r="K49" s="396" t="s">
        <v>331</v>
      </c>
      <c r="L49" s="411">
        <v>60</v>
      </c>
      <c r="M49" s="396"/>
      <c r="N49" s="137" t="s">
        <v>314</v>
      </c>
    </row>
    <row r="50" spans="1:14" ht="46.5" x14ac:dyDescent="0.35">
      <c r="A50" s="331" t="s">
        <v>673</v>
      </c>
      <c r="B50" s="141"/>
      <c r="C50" s="354" t="s">
        <v>269</v>
      </c>
      <c r="D50" s="140" t="s">
        <v>639</v>
      </c>
      <c r="E50" s="142">
        <v>1</v>
      </c>
      <c r="F50" s="396">
        <v>36.299999999999997</v>
      </c>
      <c r="G50" s="399">
        <v>685257</v>
      </c>
      <c r="H50" s="419">
        <v>44180</v>
      </c>
      <c r="I50" s="399" t="s">
        <v>270</v>
      </c>
      <c r="J50" s="396">
        <f>F50</f>
        <v>36.299999999999997</v>
      </c>
      <c r="K50" s="396" t="s">
        <v>330</v>
      </c>
      <c r="L50" s="399">
        <v>36.299999999999997</v>
      </c>
      <c r="M50" s="396"/>
      <c r="N50" s="137" t="s">
        <v>314</v>
      </c>
    </row>
    <row r="51" spans="1:14" ht="28" x14ac:dyDescent="0.35">
      <c r="A51" s="347"/>
      <c r="B51" s="58"/>
      <c r="C51" s="359" t="s">
        <v>629</v>
      </c>
      <c r="D51" s="143" t="s">
        <v>639</v>
      </c>
      <c r="E51" s="60">
        <v>5</v>
      </c>
      <c r="F51" s="59">
        <v>2000</v>
      </c>
      <c r="G51" s="144"/>
      <c r="H51" s="145"/>
      <c r="I51" s="145"/>
      <c r="J51" s="145"/>
      <c r="K51" s="145"/>
      <c r="L51" s="145"/>
      <c r="M51" s="145"/>
      <c r="N51" s="64" t="s">
        <v>329</v>
      </c>
    </row>
    <row r="52" spans="1:14" ht="47.25" customHeight="1" x14ac:dyDescent="0.35">
      <c r="A52" s="347"/>
      <c r="B52" s="58"/>
      <c r="C52" s="353" t="s">
        <v>271</v>
      </c>
      <c r="D52" s="143" t="s">
        <v>639</v>
      </c>
      <c r="E52" s="60">
        <v>13</v>
      </c>
      <c r="F52" s="59">
        <v>1300</v>
      </c>
      <c r="G52" s="144"/>
      <c r="H52" s="145"/>
      <c r="I52" s="145"/>
      <c r="J52" s="145"/>
      <c r="K52" s="145"/>
      <c r="L52" s="145"/>
      <c r="M52" s="145"/>
      <c r="N52" s="64" t="s">
        <v>328</v>
      </c>
    </row>
    <row r="53" spans="1:14" s="13" customFormat="1" ht="20.25" customHeight="1" x14ac:dyDescent="0.35">
      <c r="A53" s="348" t="s">
        <v>388</v>
      </c>
      <c r="B53" s="348"/>
      <c r="C53" s="478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80"/>
    </row>
    <row r="54" spans="1:14" ht="15.75" customHeight="1" x14ac:dyDescent="0.35">
      <c r="A54" s="349" t="s">
        <v>272</v>
      </c>
      <c r="B54" s="349"/>
      <c r="C54" s="349"/>
      <c r="D54" s="349"/>
      <c r="E54" s="349"/>
      <c r="F54" s="349"/>
      <c r="G54" s="350"/>
      <c r="H54" s="349"/>
      <c r="I54" s="349"/>
      <c r="J54" s="349"/>
      <c r="K54" s="349"/>
      <c r="L54" s="351"/>
      <c r="M54" s="349"/>
      <c r="N54" s="246"/>
    </row>
    <row r="55" spans="1:14" ht="47.25" customHeight="1" x14ac:dyDescent="0.35">
      <c r="B55" s="37"/>
      <c r="C55" s="37"/>
      <c r="D55" s="37"/>
      <c r="E55" s="37"/>
      <c r="F55" s="37"/>
      <c r="G55" s="54"/>
      <c r="H55" s="37"/>
      <c r="I55" s="37"/>
      <c r="J55" s="37"/>
      <c r="K55" s="37"/>
      <c r="L55" s="37"/>
      <c r="M55" s="37"/>
    </row>
    <row r="56" spans="1:14" x14ac:dyDescent="0.35">
      <c r="J56" s="53"/>
      <c r="K56" s="53"/>
    </row>
    <row r="58" spans="1:14" x14ac:dyDescent="0.35">
      <c r="J58" s="53"/>
      <c r="K58" s="53"/>
    </row>
  </sheetData>
  <mergeCells count="16">
    <mergeCell ref="C53:N53"/>
    <mergeCell ref="A6:A7"/>
    <mergeCell ref="D6:D7"/>
    <mergeCell ref="A5:F5"/>
    <mergeCell ref="K6:M6"/>
    <mergeCell ref="B38:C38"/>
    <mergeCell ref="A8:B8"/>
    <mergeCell ref="B3:F3"/>
    <mergeCell ref="B4:N4"/>
    <mergeCell ref="G5:N5"/>
    <mergeCell ref="B6:B7"/>
    <mergeCell ref="C6:C7"/>
    <mergeCell ref="E6:E7"/>
    <mergeCell ref="F6:F7"/>
    <mergeCell ref="G6:J6"/>
    <mergeCell ref="N6:N7"/>
  </mergeCells>
  <pageMargins left="0.7" right="0.7" top="0.75" bottom="0.75" header="0.3" footer="0.3"/>
  <pageSetup paperSize="9" scale="35" orientation="portrait" horizontalDpi="90" verticalDpi="9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O32"/>
  <sheetViews>
    <sheetView view="pageBreakPreview" zoomScale="60" zoomScaleNormal="80" workbookViewId="0">
      <selection activeCell="D10" sqref="D10:D24"/>
    </sheetView>
  </sheetViews>
  <sheetFormatPr defaultColWidth="9.1796875" defaultRowHeight="14" x14ac:dyDescent="0.35"/>
  <cols>
    <col min="1" max="1" width="24.54296875" style="14" customWidth="1"/>
    <col min="2" max="2" width="33.1796875" style="14" customWidth="1"/>
    <col min="3" max="4" width="35.453125" style="14" customWidth="1"/>
    <col min="5" max="5" width="14.26953125" style="14" customWidth="1"/>
    <col min="6" max="6" width="16.81640625" style="14" customWidth="1"/>
    <col min="7" max="8" width="14.1796875" style="14" customWidth="1"/>
    <col min="9" max="9" width="21" style="14" customWidth="1"/>
    <col min="10" max="11" width="14.26953125" style="14" customWidth="1"/>
    <col min="12" max="12" width="14.453125" style="14" customWidth="1"/>
    <col min="13" max="13" width="14.1796875" style="14" customWidth="1"/>
    <col min="14" max="14" width="32.81640625" style="14" customWidth="1"/>
    <col min="15" max="15" width="14.1796875" style="13" customWidth="1"/>
    <col min="16" max="18" width="10" style="14" bestFit="1" customWidth="1"/>
    <col min="19" max="16384" width="9.1796875" style="14"/>
  </cols>
  <sheetData>
    <row r="1" spans="1:15" ht="15.5" x14ac:dyDescent="0.3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4"/>
    </row>
    <row r="2" spans="1:15" ht="15.5" x14ac:dyDescent="0.35">
      <c r="A2" s="460" t="s">
        <v>177</v>
      </c>
      <c r="B2" s="460"/>
      <c r="C2" s="11"/>
      <c r="D2" s="11"/>
      <c r="E2" s="11"/>
      <c r="F2" s="11"/>
      <c r="G2" s="11"/>
      <c r="H2" s="11"/>
      <c r="I2" s="11"/>
      <c r="J2" s="55"/>
      <c r="K2" s="55"/>
      <c r="L2" s="11"/>
      <c r="M2" s="11"/>
      <c r="N2" s="12"/>
      <c r="O2" s="14"/>
    </row>
    <row r="3" spans="1:15" ht="15.5" x14ac:dyDescent="0.3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4"/>
    </row>
    <row r="4" spans="1:15" ht="17.5" x14ac:dyDescent="0.35">
      <c r="B4" s="461" t="s">
        <v>18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  <c r="O4" s="14"/>
    </row>
    <row r="5" spans="1:15" ht="15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  <c r="O5" s="14"/>
    </row>
    <row r="6" spans="1:15" ht="15.75" customHeight="1" x14ac:dyDescent="0.35">
      <c r="A6" s="447" t="s">
        <v>612</v>
      </c>
      <c r="B6" s="447" t="s">
        <v>19</v>
      </c>
      <c r="C6" s="447" t="s">
        <v>20</v>
      </c>
      <c r="D6" s="447" t="s">
        <v>627</v>
      </c>
      <c r="E6" s="447" t="s">
        <v>21</v>
      </c>
      <c r="F6" s="447" t="s">
        <v>22</v>
      </c>
      <c r="G6" s="465" t="s">
        <v>279</v>
      </c>
      <c r="H6" s="466"/>
      <c r="I6" s="466"/>
      <c r="J6" s="467"/>
      <c r="K6" s="465" t="s">
        <v>278</v>
      </c>
      <c r="L6" s="466"/>
      <c r="M6" s="467"/>
      <c r="N6" s="447" t="s">
        <v>282</v>
      </c>
      <c r="O6" s="14"/>
    </row>
    <row r="7" spans="1:15" ht="30" x14ac:dyDescent="0.35">
      <c r="A7" s="448"/>
      <c r="B7" s="448"/>
      <c r="C7" s="448"/>
      <c r="D7" s="448"/>
      <c r="E7" s="448"/>
      <c r="F7" s="448"/>
      <c r="G7" s="15" t="s">
        <v>24</v>
      </c>
      <c r="H7" s="15" t="s">
        <v>25</v>
      </c>
      <c r="I7" s="15" t="s">
        <v>26</v>
      </c>
      <c r="J7" s="15" t="s">
        <v>27</v>
      </c>
      <c r="K7" s="325" t="s">
        <v>613</v>
      </c>
      <c r="L7" s="325" t="s">
        <v>614</v>
      </c>
      <c r="M7" s="325" t="s">
        <v>615</v>
      </c>
      <c r="N7" s="448"/>
      <c r="O7" s="14"/>
    </row>
    <row r="8" spans="1:15" ht="15" x14ac:dyDescent="0.35">
      <c r="A8" s="491" t="s">
        <v>28</v>
      </c>
      <c r="B8" s="491"/>
      <c r="C8" s="35" t="s">
        <v>29</v>
      </c>
      <c r="D8" s="35"/>
      <c r="E8" s="35"/>
      <c r="F8" s="61">
        <f>ROUNDUP(SUM(F10:F24)+0.98,0)</f>
        <v>256325</v>
      </c>
      <c r="G8" s="17" t="s">
        <v>29</v>
      </c>
      <c r="H8" s="17" t="s">
        <v>29</v>
      </c>
      <c r="I8" s="17" t="s">
        <v>29</v>
      </c>
      <c r="J8" s="36">
        <f>SUM(J10:J24)</f>
        <v>265457.06</v>
      </c>
      <c r="K8" s="36"/>
      <c r="L8" s="36">
        <f>SUM(L10:L24)</f>
        <v>265457.06</v>
      </c>
      <c r="M8" s="36"/>
      <c r="N8" s="17" t="s">
        <v>29</v>
      </c>
      <c r="O8" s="14"/>
    </row>
    <row r="9" spans="1:15" ht="15" x14ac:dyDescent="0.35">
      <c r="A9" s="491" t="s">
        <v>307</v>
      </c>
      <c r="B9" s="491"/>
      <c r="C9" s="35"/>
      <c r="D9" s="35"/>
      <c r="E9" s="35"/>
      <c r="F9" s="61"/>
      <c r="G9" s="62"/>
      <c r="H9" s="17"/>
      <c r="I9" s="17"/>
      <c r="J9" s="36">
        <f>F8</f>
        <v>256325</v>
      </c>
      <c r="K9" s="36"/>
      <c r="L9" s="36">
        <f>F8</f>
        <v>256325</v>
      </c>
      <c r="M9" s="36"/>
      <c r="N9" s="17"/>
      <c r="O9" s="14"/>
    </row>
    <row r="10" spans="1:15" ht="46.5" x14ac:dyDescent="0.35">
      <c r="A10" s="331" t="s">
        <v>632</v>
      </c>
      <c r="B10" s="362"/>
      <c r="C10" s="151" t="s">
        <v>87</v>
      </c>
      <c r="D10" s="151" t="s">
        <v>639</v>
      </c>
      <c r="E10" s="152">
        <v>3</v>
      </c>
      <c r="F10" s="153">
        <v>15428</v>
      </c>
      <c r="G10" s="154" t="s">
        <v>178</v>
      </c>
      <c r="H10" s="155" t="s">
        <v>134</v>
      </c>
      <c r="I10" s="155" t="s">
        <v>53</v>
      </c>
      <c r="J10" s="156">
        <v>15427.5</v>
      </c>
      <c r="K10" s="155">
        <v>346</v>
      </c>
      <c r="L10" s="156">
        <v>15427.5</v>
      </c>
      <c r="M10" s="156"/>
      <c r="N10" s="137" t="s">
        <v>314</v>
      </c>
      <c r="O10" s="14"/>
    </row>
    <row r="11" spans="1:15" ht="46.5" x14ac:dyDescent="0.35">
      <c r="A11" s="364" t="s">
        <v>90</v>
      </c>
      <c r="B11" s="151" t="s">
        <v>89</v>
      </c>
      <c r="C11" s="151" t="s">
        <v>90</v>
      </c>
      <c r="D11" s="151" t="s">
        <v>639</v>
      </c>
      <c r="E11" s="152">
        <v>10</v>
      </c>
      <c r="F11" s="153">
        <v>363</v>
      </c>
      <c r="G11" s="154">
        <v>15751</v>
      </c>
      <c r="H11" s="155" t="s">
        <v>179</v>
      </c>
      <c r="I11" s="155" t="s">
        <v>180</v>
      </c>
      <c r="J11" s="155">
        <v>474.32</v>
      </c>
      <c r="K11" s="155">
        <v>348</v>
      </c>
      <c r="L11" s="156">
        <v>474.32</v>
      </c>
      <c r="M11" s="155"/>
      <c r="N11" s="137" t="s">
        <v>314</v>
      </c>
      <c r="O11" s="14"/>
    </row>
    <row r="12" spans="1:15" ht="46.5" x14ac:dyDescent="0.35">
      <c r="A12" s="365" t="s">
        <v>39</v>
      </c>
      <c r="B12" s="151" t="s">
        <v>39</v>
      </c>
      <c r="C12" s="151" t="s">
        <v>155</v>
      </c>
      <c r="D12" s="151" t="s">
        <v>639</v>
      </c>
      <c r="E12" s="152">
        <v>2</v>
      </c>
      <c r="F12" s="153">
        <v>12100</v>
      </c>
      <c r="G12" s="154" t="s">
        <v>273</v>
      </c>
      <c r="H12" s="155" t="s">
        <v>134</v>
      </c>
      <c r="I12" s="157" t="s">
        <v>32</v>
      </c>
      <c r="J12" s="156">
        <v>11858</v>
      </c>
      <c r="K12" s="155">
        <v>371</v>
      </c>
      <c r="L12" s="156">
        <v>11858</v>
      </c>
      <c r="M12" s="156"/>
      <c r="N12" s="137" t="s">
        <v>314</v>
      </c>
      <c r="O12" s="14"/>
    </row>
    <row r="13" spans="1:15" ht="46.5" x14ac:dyDescent="0.35">
      <c r="A13" s="365" t="s">
        <v>91</v>
      </c>
      <c r="B13" s="151" t="s">
        <v>91</v>
      </c>
      <c r="C13" s="151" t="s">
        <v>91</v>
      </c>
      <c r="D13" s="151" t="s">
        <v>639</v>
      </c>
      <c r="E13" s="152">
        <v>2</v>
      </c>
      <c r="F13" s="153">
        <v>7744</v>
      </c>
      <c r="G13" s="154" t="s">
        <v>305</v>
      </c>
      <c r="H13" s="155" t="s">
        <v>306</v>
      </c>
      <c r="I13" s="157" t="s">
        <v>304</v>
      </c>
      <c r="J13" s="156">
        <v>4719</v>
      </c>
      <c r="K13" s="155">
        <v>696</v>
      </c>
      <c r="L13" s="156">
        <v>4719</v>
      </c>
      <c r="M13" s="156"/>
      <c r="N13" s="137" t="s">
        <v>314</v>
      </c>
      <c r="O13" s="14"/>
    </row>
    <row r="14" spans="1:15" ht="46.5" x14ac:dyDescent="0.35">
      <c r="A14" s="365" t="s">
        <v>93</v>
      </c>
      <c r="B14" s="151" t="s">
        <v>92</v>
      </c>
      <c r="C14" s="151" t="s">
        <v>93</v>
      </c>
      <c r="D14" s="151" t="s">
        <v>639</v>
      </c>
      <c r="E14" s="152">
        <v>1</v>
      </c>
      <c r="F14" s="153">
        <v>31155</v>
      </c>
      <c r="G14" s="154" t="s">
        <v>300</v>
      </c>
      <c r="H14" s="155" t="s">
        <v>209</v>
      </c>
      <c r="I14" s="157" t="s">
        <v>301</v>
      </c>
      <c r="J14" s="156">
        <v>29645</v>
      </c>
      <c r="K14" s="155">
        <v>567</v>
      </c>
      <c r="L14" s="156">
        <v>29645</v>
      </c>
      <c r="M14" s="156"/>
      <c r="N14" s="137" t="s">
        <v>314</v>
      </c>
      <c r="O14" s="14"/>
    </row>
    <row r="15" spans="1:15" ht="46.5" x14ac:dyDescent="0.35">
      <c r="A15" s="364" t="s">
        <v>631</v>
      </c>
      <c r="B15" s="152"/>
      <c r="C15" s="151" t="s">
        <v>96</v>
      </c>
      <c r="D15" s="151" t="s">
        <v>639</v>
      </c>
      <c r="E15" s="152">
        <v>10</v>
      </c>
      <c r="F15" s="153">
        <v>60500</v>
      </c>
      <c r="G15" s="154">
        <v>107352</v>
      </c>
      <c r="H15" s="155" t="s">
        <v>209</v>
      </c>
      <c r="I15" s="157" t="s">
        <v>32</v>
      </c>
      <c r="J15" s="156">
        <v>60379</v>
      </c>
      <c r="K15" s="155">
        <v>569</v>
      </c>
      <c r="L15" s="156">
        <v>60379</v>
      </c>
      <c r="M15" s="156"/>
      <c r="N15" s="137" t="s">
        <v>314</v>
      </c>
      <c r="O15" s="14"/>
    </row>
    <row r="16" spans="1:15" ht="46.5" x14ac:dyDescent="0.35">
      <c r="A16" s="365" t="s">
        <v>79</v>
      </c>
      <c r="B16" s="151" t="s">
        <v>79</v>
      </c>
      <c r="C16" s="151" t="s">
        <v>79</v>
      </c>
      <c r="D16" s="151" t="s">
        <v>639</v>
      </c>
      <c r="E16" s="152">
        <v>10</v>
      </c>
      <c r="F16" s="153">
        <v>2057</v>
      </c>
      <c r="G16" s="154">
        <v>15751</v>
      </c>
      <c r="H16" s="155" t="s">
        <v>179</v>
      </c>
      <c r="I16" s="155" t="s">
        <v>180</v>
      </c>
      <c r="J16" s="158">
        <v>223.85</v>
      </c>
      <c r="K16" s="296">
        <v>336</v>
      </c>
      <c r="L16" s="156">
        <v>223.85</v>
      </c>
      <c r="M16" s="158"/>
      <c r="N16" s="137" t="s">
        <v>314</v>
      </c>
      <c r="O16" s="14"/>
    </row>
    <row r="17" spans="1:15" ht="15.75" customHeight="1" x14ac:dyDescent="0.35">
      <c r="A17" s="364" t="s">
        <v>633</v>
      </c>
      <c r="B17" s="151"/>
      <c r="C17" s="151" t="s">
        <v>81</v>
      </c>
      <c r="D17" s="151" t="s">
        <v>639</v>
      </c>
      <c r="E17" s="152">
        <v>10</v>
      </c>
      <c r="F17" s="153">
        <v>968</v>
      </c>
      <c r="G17" s="485" t="s">
        <v>274</v>
      </c>
      <c r="H17" s="487" t="s">
        <v>275</v>
      </c>
      <c r="I17" s="487" t="s">
        <v>189</v>
      </c>
      <c r="J17" s="483">
        <v>7986</v>
      </c>
      <c r="K17" s="487">
        <v>345</v>
      </c>
      <c r="L17" s="483">
        <v>7986</v>
      </c>
      <c r="M17" s="483"/>
      <c r="N17" s="137" t="s">
        <v>314</v>
      </c>
      <c r="O17" s="14"/>
    </row>
    <row r="18" spans="1:15" ht="46.5" x14ac:dyDescent="0.35">
      <c r="A18" s="331" t="s">
        <v>633</v>
      </c>
      <c r="B18" s="151"/>
      <c r="C18" s="151" t="s">
        <v>181</v>
      </c>
      <c r="D18" s="151" t="s">
        <v>639</v>
      </c>
      <c r="E18" s="152">
        <v>65</v>
      </c>
      <c r="F18" s="153">
        <v>4404</v>
      </c>
      <c r="G18" s="486"/>
      <c r="H18" s="488"/>
      <c r="I18" s="488"/>
      <c r="J18" s="484"/>
      <c r="K18" s="488"/>
      <c r="L18" s="484"/>
      <c r="M18" s="484"/>
      <c r="N18" s="137" t="s">
        <v>314</v>
      </c>
      <c r="O18" s="14"/>
    </row>
    <row r="19" spans="1:15" ht="15.75" customHeight="1" x14ac:dyDescent="0.35">
      <c r="A19" s="331" t="s">
        <v>638</v>
      </c>
      <c r="B19" s="151" t="s">
        <v>51</v>
      </c>
      <c r="C19" s="151" t="s">
        <v>182</v>
      </c>
      <c r="D19" s="151" t="s">
        <v>639</v>
      </c>
      <c r="E19" s="152">
        <v>10</v>
      </c>
      <c r="F19" s="153">
        <v>7260</v>
      </c>
      <c r="G19" s="154" t="s">
        <v>276</v>
      </c>
      <c r="H19" s="155" t="s">
        <v>275</v>
      </c>
      <c r="I19" s="155" t="s">
        <v>140</v>
      </c>
      <c r="J19" s="156">
        <v>9075</v>
      </c>
      <c r="K19" s="487">
        <v>474</v>
      </c>
      <c r="L19" s="483">
        <v>27225</v>
      </c>
      <c r="M19" s="483"/>
      <c r="N19" s="137" t="s">
        <v>314</v>
      </c>
      <c r="O19" s="14"/>
    </row>
    <row r="20" spans="1:15" ht="15.75" customHeight="1" x14ac:dyDescent="0.35">
      <c r="A20" s="331" t="s">
        <v>634</v>
      </c>
      <c r="B20" s="152"/>
      <c r="C20" s="151" t="s">
        <v>49</v>
      </c>
      <c r="D20" s="151" t="s">
        <v>639</v>
      </c>
      <c r="E20" s="152">
        <v>20</v>
      </c>
      <c r="F20" s="153">
        <v>12100</v>
      </c>
      <c r="G20" s="154" t="s">
        <v>276</v>
      </c>
      <c r="H20" s="155" t="s">
        <v>275</v>
      </c>
      <c r="I20" s="155" t="s">
        <v>140</v>
      </c>
      <c r="J20" s="156">
        <v>18150</v>
      </c>
      <c r="K20" s="488"/>
      <c r="L20" s="484"/>
      <c r="M20" s="484"/>
      <c r="N20" s="137" t="s">
        <v>314</v>
      </c>
      <c r="O20" s="14"/>
    </row>
    <row r="21" spans="1:15" ht="46.5" x14ac:dyDescent="0.35">
      <c r="A21" s="331" t="s">
        <v>635</v>
      </c>
      <c r="B21" s="152"/>
      <c r="C21" s="159" t="s">
        <v>101</v>
      </c>
      <c r="D21" s="159" t="s">
        <v>639</v>
      </c>
      <c r="E21" s="152">
        <v>5</v>
      </c>
      <c r="F21" s="153">
        <v>3025</v>
      </c>
      <c r="G21" s="154" t="s">
        <v>274</v>
      </c>
      <c r="H21" s="155" t="s">
        <v>275</v>
      </c>
      <c r="I21" s="155" t="s">
        <v>189</v>
      </c>
      <c r="J21" s="156">
        <v>3267</v>
      </c>
      <c r="K21" s="155">
        <v>345</v>
      </c>
      <c r="L21" s="156">
        <v>3267</v>
      </c>
      <c r="M21" s="156"/>
      <c r="N21" s="137" t="s">
        <v>314</v>
      </c>
      <c r="O21" s="14"/>
    </row>
    <row r="22" spans="1:15" ht="46.5" x14ac:dyDescent="0.35">
      <c r="A22" s="331" t="s">
        <v>103</v>
      </c>
      <c r="B22" s="151" t="s">
        <v>103</v>
      </c>
      <c r="C22" s="151" t="s">
        <v>103</v>
      </c>
      <c r="D22" s="151" t="s">
        <v>639</v>
      </c>
      <c r="E22" s="152">
        <v>1</v>
      </c>
      <c r="F22" s="153">
        <v>48400</v>
      </c>
      <c r="G22" s="154" t="s">
        <v>302</v>
      </c>
      <c r="H22" s="155" t="s">
        <v>287</v>
      </c>
      <c r="I22" s="157" t="s">
        <v>32</v>
      </c>
      <c r="J22" s="156">
        <v>48375.8</v>
      </c>
      <c r="K22" s="155">
        <v>695</v>
      </c>
      <c r="L22" s="156">
        <v>48375.8</v>
      </c>
      <c r="M22" s="156"/>
      <c r="N22" s="137" t="s">
        <v>314</v>
      </c>
      <c r="O22" s="14"/>
    </row>
    <row r="23" spans="1:15" ht="15.75" customHeight="1" x14ac:dyDescent="0.35">
      <c r="A23" s="331" t="s">
        <v>636</v>
      </c>
      <c r="B23" s="151"/>
      <c r="C23" s="151" t="s">
        <v>107</v>
      </c>
      <c r="D23" s="151" t="s">
        <v>639</v>
      </c>
      <c r="E23" s="152">
        <v>20</v>
      </c>
      <c r="F23" s="153">
        <v>48400</v>
      </c>
      <c r="G23" s="154" t="s">
        <v>303</v>
      </c>
      <c r="H23" s="155" t="s">
        <v>295</v>
      </c>
      <c r="I23" s="155" t="s">
        <v>189</v>
      </c>
      <c r="J23" s="156">
        <v>53215.8</v>
      </c>
      <c r="K23" s="155">
        <v>618</v>
      </c>
      <c r="L23" s="156">
        <v>53215.8</v>
      </c>
      <c r="M23" s="156"/>
      <c r="N23" s="137" t="s">
        <v>314</v>
      </c>
      <c r="O23" s="14"/>
    </row>
    <row r="24" spans="1:15" ht="46.5" x14ac:dyDescent="0.35">
      <c r="A24" s="331" t="s">
        <v>637</v>
      </c>
      <c r="B24" s="152"/>
      <c r="C24" s="151" t="s">
        <v>111</v>
      </c>
      <c r="D24" s="151" t="s">
        <v>639</v>
      </c>
      <c r="E24" s="152">
        <v>10</v>
      </c>
      <c r="F24" s="153">
        <v>2420</v>
      </c>
      <c r="G24" s="154" t="s">
        <v>303</v>
      </c>
      <c r="H24" s="155" t="s">
        <v>295</v>
      </c>
      <c r="I24" s="155" t="s">
        <v>189</v>
      </c>
      <c r="J24" s="156">
        <v>2660.79</v>
      </c>
      <c r="K24" s="155">
        <v>618</v>
      </c>
      <c r="L24" s="156">
        <v>2660.79</v>
      </c>
      <c r="M24" s="156"/>
      <c r="N24" s="137" t="s">
        <v>314</v>
      </c>
      <c r="O24" s="14"/>
    </row>
    <row r="25" spans="1:15" ht="15.5" x14ac:dyDescent="0.35">
      <c r="B25" s="65"/>
      <c r="C25" s="66"/>
      <c r="D25" s="66"/>
      <c r="E25" s="67"/>
      <c r="F25" s="68"/>
      <c r="G25" s="69"/>
      <c r="H25" s="69"/>
      <c r="I25" s="69"/>
      <c r="J25" s="70"/>
      <c r="K25" s="70"/>
      <c r="L25" s="69"/>
      <c r="M25" s="70"/>
      <c r="N25" s="71"/>
      <c r="O25" s="14"/>
    </row>
    <row r="26" spans="1:15" ht="42.75" customHeight="1" x14ac:dyDescent="0.35">
      <c r="A26" s="489" t="s">
        <v>457</v>
      </c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90"/>
      <c r="O26" s="14"/>
    </row>
    <row r="27" spans="1:15" ht="6" customHeight="1" x14ac:dyDescent="0.35">
      <c r="A27" s="332"/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61"/>
      <c r="O27" s="14"/>
    </row>
    <row r="31" spans="1:15" x14ac:dyDescent="0.35">
      <c r="O31" s="14"/>
    </row>
    <row r="32" spans="1:15" x14ac:dyDescent="0.35">
      <c r="O32" s="14"/>
    </row>
  </sheetData>
  <mergeCells count="26">
    <mergeCell ref="A2:B2"/>
    <mergeCell ref="A26:N26"/>
    <mergeCell ref="A8:B8"/>
    <mergeCell ref="A9:B9"/>
    <mergeCell ref="A6:A7"/>
    <mergeCell ref="A5:F5"/>
    <mergeCell ref="D6:D7"/>
    <mergeCell ref="K17:K18"/>
    <mergeCell ref="K19:K20"/>
    <mergeCell ref="B4:N4"/>
    <mergeCell ref="G5:N5"/>
    <mergeCell ref="B6:B7"/>
    <mergeCell ref="C6:C7"/>
    <mergeCell ref="E6:E7"/>
    <mergeCell ref="F6:F7"/>
    <mergeCell ref="G6:J6"/>
    <mergeCell ref="L19:L20"/>
    <mergeCell ref="M19:M20"/>
    <mergeCell ref="N6:N7"/>
    <mergeCell ref="K6:M6"/>
    <mergeCell ref="G17:G18"/>
    <mergeCell ref="H17:H18"/>
    <mergeCell ref="I17:I18"/>
    <mergeCell ref="J17:J18"/>
    <mergeCell ref="L17:L18"/>
    <mergeCell ref="M17:M18"/>
  </mergeCells>
  <pageMargins left="0.70866141732283472" right="0.70866141732283472" top="0.74803149606299213" bottom="0.74803149606299213" header="0.31496062992125984" footer="0.31496062992125984"/>
  <pageSetup paperSize="9" scale="43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F46F-6213-4BE0-9270-2A3FBEDCA0CE}">
  <sheetPr>
    <tabColor rgb="FF00B0F0"/>
  </sheetPr>
  <dimension ref="A1:O25"/>
  <sheetViews>
    <sheetView view="pageBreakPreview" zoomScale="60" zoomScaleNormal="70" workbookViewId="0">
      <selection activeCell="J15" sqref="J15"/>
    </sheetView>
  </sheetViews>
  <sheetFormatPr defaultColWidth="9.1796875" defaultRowHeight="14" x14ac:dyDescent="0.35"/>
  <cols>
    <col min="1" max="1" width="19" style="14" customWidth="1"/>
    <col min="2" max="2" width="22.54296875" style="14" customWidth="1"/>
    <col min="3" max="3" width="31.1796875" style="14" customWidth="1"/>
    <col min="4" max="4" width="27.26953125" style="14" customWidth="1"/>
    <col min="5" max="5" width="7.81640625" style="14" customWidth="1"/>
    <col min="6" max="6" width="16.81640625" style="14" customWidth="1"/>
    <col min="7" max="7" width="14.1796875" style="14" customWidth="1"/>
    <col min="8" max="8" width="14.26953125" style="14" customWidth="1"/>
    <col min="9" max="9" width="21" style="14" customWidth="1"/>
    <col min="10" max="11" width="14.26953125" style="14" customWidth="1"/>
    <col min="12" max="12" width="14.54296875" style="14" customWidth="1"/>
    <col min="13" max="13" width="14.1796875" style="14" customWidth="1"/>
    <col min="14" max="14" width="38" style="14" customWidth="1"/>
    <col min="15" max="15" width="12.453125" style="39" customWidth="1"/>
    <col min="16" max="17" width="10" style="14" bestFit="1" customWidth="1"/>
    <col min="18" max="16384" width="9.1796875" style="14"/>
  </cols>
  <sheetData>
    <row r="1" spans="1:15" ht="15.5" x14ac:dyDescent="0.3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5" ht="15.5" x14ac:dyDescent="0.3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5" ht="31.5" customHeight="1" x14ac:dyDescent="0.35">
      <c r="A3" s="494" t="s">
        <v>184</v>
      </c>
      <c r="B3" s="494"/>
      <c r="C3" s="494"/>
      <c r="D3" s="297"/>
      <c r="E3" s="11"/>
      <c r="F3" s="11"/>
      <c r="G3" s="11"/>
      <c r="H3" s="11"/>
      <c r="I3" s="11"/>
      <c r="J3" s="55"/>
      <c r="K3" s="11"/>
      <c r="L3" s="11"/>
      <c r="M3" s="11"/>
      <c r="N3" s="12"/>
    </row>
    <row r="4" spans="1:15" ht="17.5" x14ac:dyDescent="0.35">
      <c r="B4" s="461" t="s">
        <v>18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</row>
    <row r="5" spans="1:15" ht="15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5" ht="15.75" customHeight="1" x14ac:dyDescent="0.35">
      <c r="A6" s="447" t="s">
        <v>612</v>
      </c>
      <c r="B6" s="447" t="s">
        <v>19</v>
      </c>
      <c r="C6" s="447" t="s">
        <v>20</v>
      </c>
      <c r="D6" s="447" t="s">
        <v>627</v>
      </c>
      <c r="E6" s="447" t="s">
        <v>21</v>
      </c>
      <c r="F6" s="447" t="s">
        <v>22</v>
      </c>
      <c r="G6" s="465" t="s">
        <v>279</v>
      </c>
      <c r="H6" s="466"/>
      <c r="I6" s="466"/>
      <c r="J6" s="467"/>
      <c r="K6" s="465" t="s">
        <v>278</v>
      </c>
      <c r="L6" s="466"/>
      <c r="M6" s="467"/>
      <c r="N6" s="447" t="s">
        <v>277</v>
      </c>
    </row>
    <row r="7" spans="1:15" ht="30" x14ac:dyDescent="0.35">
      <c r="A7" s="448"/>
      <c r="B7" s="448"/>
      <c r="C7" s="448"/>
      <c r="D7" s="448"/>
      <c r="E7" s="448"/>
      <c r="F7" s="448"/>
      <c r="G7" s="15" t="s">
        <v>24</v>
      </c>
      <c r="H7" s="15" t="s">
        <v>25</v>
      </c>
      <c r="I7" s="15" t="s">
        <v>26</v>
      </c>
      <c r="J7" s="15" t="s">
        <v>27</v>
      </c>
      <c r="K7" s="325" t="s">
        <v>613</v>
      </c>
      <c r="L7" s="325" t="s">
        <v>614</v>
      </c>
      <c r="M7" s="325" t="s">
        <v>615</v>
      </c>
      <c r="N7" s="448"/>
      <c r="O7" s="40"/>
    </row>
    <row r="8" spans="1:15" ht="15" x14ac:dyDescent="0.35">
      <c r="A8" s="347"/>
      <c r="B8" s="16" t="s">
        <v>28</v>
      </c>
      <c r="C8" s="17" t="s">
        <v>29</v>
      </c>
      <c r="D8" s="17"/>
      <c r="E8" s="17"/>
      <c r="F8" s="36">
        <f>ROUND(F9+F12+F13+F14+F15+F18,0)</f>
        <v>127114</v>
      </c>
      <c r="G8" s="17" t="s">
        <v>29</v>
      </c>
      <c r="H8" s="17" t="s">
        <v>29</v>
      </c>
      <c r="I8" s="17" t="s">
        <v>29</v>
      </c>
      <c r="J8" s="36">
        <f>ROUND(J12+J13+J15+J18,0)</f>
        <v>68231</v>
      </c>
      <c r="K8" s="36"/>
      <c r="L8" s="36">
        <f>ROUND(L9+L10+L11+L12+L13+L14+L15+L18,0)</f>
        <v>139398</v>
      </c>
      <c r="M8" s="36"/>
      <c r="N8" s="17" t="s">
        <v>29</v>
      </c>
      <c r="O8" s="41"/>
    </row>
    <row r="9" spans="1:15" ht="31" x14ac:dyDescent="0.35">
      <c r="A9" s="347"/>
      <c r="B9" s="85"/>
      <c r="C9" s="160" t="s">
        <v>157</v>
      </c>
      <c r="D9" s="160" t="s">
        <v>639</v>
      </c>
      <c r="E9" s="85">
        <v>3</v>
      </c>
      <c r="F9" s="161">
        <v>54885.600000000006</v>
      </c>
      <c r="G9" s="85" t="s">
        <v>458</v>
      </c>
      <c r="H9" s="162">
        <v>43941</v>
      </c>
      <c r="I9" s="85" t="s">
        <v>32</v>
      </c>
      <c r="J9" s="86">
        <v>21780</v>
      </c>
      <c r="K9" s="86">
        <v>2219</v>
      </c>
      <c r="L9" s="85">
        <v>21780</v>
      </c>
      <c r="M9" s="86"/>
      <c r="N9" s="163" t="s">
        <v>315</v>
      </c>
      <c r="O9" s="41"/>
    </row>
    <row r="10" spans="1:15" ht="31" x14ac:dyDescent="0.35">
      <c r="A10" s="347"/>
      <c r="B10" s="85"/>
      <c r="C10" s="160"/>
      <c r="D10" s="160" t="s">
        <v>639</v>
      </c>
      <c r="E10" s="85"/>
      <c r="F10" s="161"/>
      <c r="G10" s="85" t="s">
        <v>458</v>
      </c>
      <c r="H10" s="162">
        <v>43941</v>
      </c>
      <c r="I10" s="85" t="s">
        <v>32</v>
      </c>
      <c r="J10" s="86">
        <v>21780</v>
      </c>
      <c r="K10" s="86">
        <v>2219</v>
      </c>
      <c r="L10" s="85">
        <v>21780</v>
      </c>
      <c r="M10" s="86"/>
      <c r="N10" s="85" t="s">
        <v>315</v>
      </c>
      <c r="O10" s="41"/>
    </row>
    <row r="11" spans="1:15" ht="31" x14ac:dyDescent="0.35">
      <c r="A11" s="347"/>
      <c r="B11" s="85"/>
      <c r="C11" s="160"/>
      <c r="D11" s="160" t="s">
        <v>639</v>
      </c>
      <c r="E11" s="85"/>
      <c r="F11" s="161"/>
      <c r="G11" s="85" t="s">
        <v>459</v>
      </c>
      <c r="H11" s="162">
        <v>44063</v>
      </c>
      <c r="I11" s="85" t="s">
        <v>32</v>
      </c>
      <c r="J11" s="86">
        <v>21780</v>
      </c>
      <c r="K11" s="86">
        <v>9373</v>
      </c>
      <c r="L11" s="85">
        <v>21780</v>
      </c>
      <c r="M11" s="86"/>
      <c r="N11" s="85" t="s">
        <v>315</v>
      </c>
      <c r="O11" s="41"/>
    </row>
    <row r="12" spans="1:15" ht="46.5" x14ac:dyDescent="0.35">
      <c r="A12" s="363" t="s">
        <v>185</v>
      </c>
      <c r="B12" s="137"/>
      <c r="C12" s="164" t="s">
        <v>185</v>
      </c>
      <c r="D12" s="164" t="s">
        <v>639</v>
      </c>
      <c r="E12" s="137">
        <v>1</v>
      </c>
      <c r="F12" s="165">
        <v>8421.6</v>
      </c>
      <c r="G12" s="137" t="s">
        <v>186</v>
      </c>
      <c r="H12" s="166">
        <v>44230</v>
      </c>
      <c r="I12" s="137" t="s">
        <v>32</v>
      </c>
      <c r="J12" s="167">
        <v>8421.6</v>
      </c>
      <c r="K12" s="167">
        <v>1544</v>
      </c>
      <c r="L12" s="137">
        <v>8421.6</v>
      </c>
      <c r="M12" s="168"/>
      <c r="N12" s="137" t="s">
        <v>314</v>
      </c>
      <c r="O12" s="41"/>
    </row>
    <row r="13" spans="1:15" ht="46.5" x14ac:dyDescent="0.35">
      <c r="A13" s="363" t="s">
        <v>187</v>
      </c>
      <c r="B13" s="137"/>
      <c r="C13" s="164" t="s">
        <v>187</v>
      </c>
      <c r="D13" s="164" t="s">
        <v>639</v>
      </c>
      <c r="E13" s="137">
        <v>1</v>
      </c>
      <c r="F13" s="165">
        <v>6000</v>
      </c>
      <c r="G13" s="137" t="s">
        <v>188</v>
      </c>
      <c r="H13" s="166">
        <v>44202</v>
      </c>
      <c r="I13" s="137" t="s">
        <v>32</v>
      </c>
      <c r="J13" s="167">
        <v>5977.4</v>
      </c>
      <c r="K13" s="167">
        <v>1424</v>
      </c>
      <c r="L13" s="137">
        <v>5977.4</v>
      </c>
      <c r="M13" s="168"/>
      <c r="N13" s="137" t="s">
        <v>314</v>
      </c>
      <c r="O13" s="41"/>
    </row>
    <row r="14" spans="1:15" ht="28" x14ac:dyDescent="0.35">
      <c r="A14" s="347"/>
      <c r="B14" s="85"/>
      <c r="C14" s="160" t="s">
        <v>159</v>
      </c>
      <c r="D14" s="160" t="s">
        <v>639</v>
      </c>
      <c r="E14" s="85">
        <v>70</v>
      </c>
      <c r="F14" s="161">
        <v>5827.36</v>
      </c>
      <c r="G14" s="85" t="s">
        <v>460</v>
      </c>
      <c r="H14" s="162">
        <v>44133</v>
      </c>
      <c r="I14" s="85" t="s">
        <v>189</v>
      </c>
      <c r="J14" s="86">
        <v>5827.36</v>
      </c>
      <c r="K14" s="86">
        <v>12954</v>
      </c>
      <c r="L14" s="85">
        <v>5827.36</v>
      </c>
      <c r="M14" s="86"/>
      <c r="N14" s="163"/>
      <c r="O14" s="41"/>
    </row>
    <row r="15" spans="1:15" ht="70" x14ac:dyDescent="0.35">
      <c r="A15" s="363" t="s">
        <v>630</v>
      </c>
      <c r="B15" s="137"/>
      <c r="C15" s="164" t="s">
        <v>190</v>
      </c>
      <c r="D15" s="164" t="s">
        <v>639</v>
      </c>
      <c r="E15" s="137">
        <v>1</v>
      </c>
      <c r="F15" s="165">
        <v>40000</v>
      </c>
      <c r="G15" s="135"/>
      <c r="H15" s="135"/>
      <c r="I15" s="135"/>
      <c r="J15" s="169">
        <f>J16+J17</f>
        <v>41743.79</v>
      </c>
      <c r="K15" s="169"/>
      <c r="L15" s="135">
        <v>41743.79</v>
      </c>
      <c r="M15" s="169"/>
      <c r="N15" s="137" t="s">
        <v>314</v>
      </c>
      <c r="O15" s="41"/>
    </row>
    <row r="16" spans="1:15" ht="46.5" x14ac:dyDescent="0.35">
      <c r="A16" s="347"/>
      <c r="B16" s="137"/>
      <c r="C16" s="135" t="s">
        <v>191</v>
      </c>
      <c r="D16" s="135" t="s">
        <v>639</v>
      </c>
      <c r="E16" s="137"/>
      <c r="F16" s="167">
        <f>ROUND(22988*1.21,2)</f>
        <v>27815.48</v>
      </c>
      <c r="G16" s="137" t="s">
        <v>192</v>
      </c>
      <c r="H16" s="166">
        <v>44175</v>
      </c>
      <c r="I16" s="137" t="s">
        <v>189</v>
      </c>
      <c r="J16" s="167">
        <f>ROUND(22988*1.21,2)</f>
        <v>27815.48</v>
      </c>
      <c r="K16" s="167">
        <v>15292</v>
      </c>
      <c r="L16" s="137">
        <v>27815.48</v>
      </c>
      <c r="M16" s="167"/>
      <c r="N16" s="137" t="s">
        <v>314</v>
      </c>
      <c r="O16" s="41"/>
    </row>
    <row r="17" spans="1:15" ht="46.5" x14ac:dyDescent="0.35">
      <c r="A17" s="347"/>
      <c r="B17" s="137"/>
      <c r="C17" s="135" t="s">
        <v>193</v>
      </c>
      <c r="D17" s="135" t="s">
        <v>639</v>
      </c>
      <c r="E17" s="137"/>
      <c r="F17" s="167">
        <v>12184.52</v>
      </c>
      <c r="G17" s="170" t="s">
        <v>194</v>
      </c>
      <c r="H17" s="171">
        <v>44186</v>
      </c>
      <c r="I17" s="170" t="s">
        <v>189</v>
      </c>
      <c r="J17" s="168">
        <f>ROUND(11511*1.21,2)</f>
        <v>13928.31</v>
      </c>
      <c r="K17" s="168">
        <v>15292</v>
      </c>
      <c r="L17" s="170">
        <v>13928.31</v>
      </c>
      <c r="M17" s="168"/>
      <c r="N17" s="137" t="s">
        <v>314</v>
      </c>
      <c r="O17" s="41"/>
    </row>
    <row r="18" spans="1:15" ht="46.5" x14ac:dyDescent="0.35">
      <c r="A18" s="363" t="s">
        <v>85</v>
      </c>
      <c r="B18" s="137"/>
      <c r="C18" s="164" t="s">
        <v>85</v>
      </c>
      <c r="D18" s="164" t="s">
        <v>639</v>
      </c>
      <c r="E18" s="137">
        <v>1</v>
      </c>
      <c r="F18" s="167">
        <v>11979</v>
      </c>
      <c r="G18" s="170" t="s">
        <v>195</v>
      </c>
      <c r="H18" s="171">
        <v>44209</v>
      </c>
      <c r="I18" s="170" t="s">
        <v>142</v>
      </c>
      <c r="J18" s="168">
        <v>12087.9</v>
      </c>
      <c r="K18" s="168" t="s">
        <v>196</v>
      </c>
      <c r="L18" s="172">
        <v>12087.9</v>
      </c>
      <c r="M18" s="168"/>
      <c r="N18" s="137" t="s">
        <v>314</v>
      </c>
      <c r="O18" s="41"/>
    </row>
    <row r="19" spans="1:15" ht="15.5" x14ac:dyDescent="0.3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5" ht="42.75" customHeight="1" x14ac:dyDescent="0.35">
      <c r="A20" s="492" t="s">
        <v>461</v>
      </c>
      <c r="B20" s="492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3"/>
      <c r="O20" s="41"/>
    </row>
    <row r="22" spans="1:15" x14ac:dyDescent="0.35">
      <c r="M22" s="42"/>
    </row>
    <row r="23" spans="1:15" x14ac:dyDescent="0.35">
      <c r="M23" s="42"/>
    </row>
    <row r="24" spans="1:15" x14ac:dyDescent="0.35">
      <c r="B24" s="43"/>
      <c r="C24" s="38"/>
      <c r="D24" s="38"/>
      <c r="J24" s="42"/>
      <c r="K24" s="42"/>
      <c r="M24" s="44"/>
    </row>
    <row r="25" spans="1:15" x14ac:dyDescent="0.35">
      <c r="B25" s="43"/>
    </row>
  </sheetData>
  <mergeCells count="14">
    <mergeCell ref="A20:N20"/>
    <mergeCell ref="A3:C3"/>
    <mergeCell ref="N6:N7"/>
    <mergeCell ref="B4:N4"/>
    <mergeCell ref="G5:N5"/>
    <mergeCell ref="B6:B7"/>
    <mergeCell ref="C6:C7"/>
    <mergeCell ref="E6:E7"/>
    <mergeCell ref="F6:F7"/>
    <mergeCell ref="G6:J6"/>
    <mergeCell ref="K6:M6"/>
    <mergeCell ref="A6:A7"/>
    <mergeCell ref="A5:F5"/>
    <mergeCell ref="D6:D7"/>
  </mergeCells>
  <pageMargins left="0.7" right="0.7" top="0.75" bottom="0.75" header="0.3" footer="0.3"/>
  <pageSetup paperSize="9" scale="32" orientation="portrait" horizontalDpi="90" verticalDpi="90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1662E-7587-4937-BF77-2D718A5A13D3}">
  <sheetPr>
    <tabColor rgb="FF00B0F0"/>
  </sheetPr>
  <dimension ref="A1:P57"/>
  <sheetViews>
    <sheetView view="pageBreakPreview" zoomScale="60" zoomScaleNormal="80" workbookViewId="0">
      <selection activeCell="D8" sqref="D8:D42"/>
    </sheetView>
  </sheetViews>
  <sheetFormatPr defaultColWidth="9.1796875" defaultRowHeight="14" x14ac:dyDescent="0.35"/>
  <cols>
    <col min="1" max="1" width="18.1796875" style="14" customWidth="1"/>
    <col min="2" max="2" width="28.81640625" style="14" customWidth="1"/>
    <col min="3" max="4" width="35.453125" style="14" customWidth="1"/>
    <col min="5" max="5" width="8.1796875" style="14" bestFit="1" customWidth="1"/>
    <col min="6" max="6" width="12.1796875" style="14" customWidth="1"/>
    <col min="7" max="7" width="18.7265625" style="14" bestFit="1" customWidth="1"/>
    <col min="8" max="8" width="13" style="14" bestFit="1" customWidth="1"/>
    <col min="9" max="9" width="22.81640625" style="14" bestFit="1" customWidth="1"/>
    <col min="10" max="10" width="15" style="14" bestFit="1" customWidth="1"/>
    <col min="11" max="11" width="15" style="14" customWidth="1"/>
    <col min="12" max="12" width="17.26953125" style="14" bestFit="1" customWidth="1"/>
    <col min="13" max="13" width="18.453125" style="14" bestFit="1" customWidth="1"/>
    <col min="14" max="14" width="34.26953125" style="14" customWidth="1"/>
    <col min="15" max="15" width="9.1796875" style="14"/>
    <col min="16" max="16" width="20.453125" style="14" customWidth="1"/>
    <col min="17" max="16384" width="9.1796875" style="14"/>
  </cols>
  <sheetData>
    <row r="1" spans="1:16" ht="15.5" x14ac:dyDescent="0.3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5.75" customHeight="1" x14ac:dyDescent="0.35">
      <c r="A2" s="495" t="s">
        <v>147</v>
      </c>
      <c r="B2" s="495"/>
      <c r="C2" s="495"/>
      <c r="D2" s="178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6" ht="36.75" customHeight="1" x14ac:dyDescent="0.35">
      <c r="B3" s="498" t="s">
        <v>18</v>
      </c>
      <c r="C3" s="498"/>
      <c r="D3" s="498"/>
      <c r="E3" s="498"/>
      <c r="F3" s="463"/>
      <c r="G3" s="463"/>
      <c r="H3" s="463"/>
      <c r="I3" s="463"/>
      <c r="J3" s="463"/>
      <c r="K3" s="463"/>
      <c r="L3" s="463"/>
      <c r="M3" s="463"/>
      <c r="N3" s="464"/>
    </row>
    <row r="4" spans="1:16" ht="22.5" customHeight="1" x14ac:dyDescent="0.35">
      <c r="B4" s="465" t="s">
        <v>280</v>
      </c>
      <c r="C4" s="466"/>
      <c r="D4" s="466"/>
      <c r="E4" s="466"/>
      <c r="F4" s="467"/>
      <c r="G4" s="465" t="s">
        <v>18</v>
      </c>
      <c r="H4" s="466"/>
      <c r="I4" s="466"/>
      <c r="J4" s="466"/>
      <c r="K4" s="466"/>
      <c r="L4" s="466"/>
      <c r="M4" s="466"/>
      <c r="N4" s="467"/>
    </row>
    <row r="5" spans="1:16" ht="36" customHeight="1" x14ac:dyDescent="0.35">
      <c r="A5" s="447" t="s">
        <v>612</v>
      </c>
      <c r="B5" s="447" t="s">
        <v>19</v>
      </c>
      <c r="C5" s="447" t="s">
        <v>20</v>
      </c>
      <c r="D5" s="447" t="s">
        <v>627</v>
      </c>
      <c r="E5" s="447" t="s">
        <v>21</v>
      </c>
      <c r="F5" s="447" t="s">
        <v>509</v>
      </c>
      <c r="G5" s="465" t="s">
        <v>279</v>
      </c>
      <c r="H5" s="466"/>
      <c r="I5" s="466"/>
      <c r="J5" s="467"/>
      <c r="K5" s="465" t="s">
        <v>278</v>
      </c>
      <c r="L5" s="466"/>
      <c r="M5" s="467"/>
      <c r="N5" s="447" t="s">
        <v>510</v>
      </c>
    </row>
    <row r="6" spans="1:16" ht="30" x14ac:dyDescent="0.35">
      <c r="A6" s="448"/>
      <c r="B6" s="448"/>
      <c r="C6" s="448"/>
      <c r="D6" s="448"/>
      <c r="E6" s="448"/>
      <c r="F6" s="448"/>
      <c r="G6" s="15" t="s">
        <v>24</v>
      </c>
      <c r="H6" s="15" t="s">
        <v>25</v>
      </c>
      <c r="I6" s="15" t="s">
        <v>26</v>
      </c>
      <c r="J6" s="15" t="s">
        <v>508</v>
      </c>
      <c r="K6" s="325" t="s">
        <v>613</v>
      </c>
      <c r="L6" s="325" t="s">
        <v>614</v>
      </c>
      <c r="M6" s="325" t="s">
        <v>615</v>
      </c>
      <c r="N6" s="448"/>
    </row>
    <row r="7" spans="1:16" ht="15" x14ac:dyDescent="0.35">
      <c r="B7" s="34" t="s">
        <v>28</v>
      </c>
      <c r="C7" s="35" t="s">
        <v>29</v>
      </c>
      <c r="D7" s="35"/>
      <c r="E7" s="35"/>
      <c r="F7" s="177">
        <f>SUM(F8:F42)</f>
        <v>2411290</v>
      </c>
      <c r="G7" s="17" t="s">
        <v>29</v>
      </c>
      <c r="H7" s="17" t="s">
        <v>29</v>
      </c>
      <c r="I7" s="17" t="s">
        <v>29</v>
      </c>
      <c r="J7" s="177">
        <f>ROUNDUP(SUM(J8:J42),0)</f>
        <v>2381502</v>
      </c>
      <c r="K7" s="177"/>
      <c r="L7" s="177">
        <v>2381502</v>
      </c>
      <c r="M7" s="177"/>
      <c r="N7" s="17" t="s">
        <v>29</v>
      </c>
      <c r="P7" s="27"/>
    </row>
    <row r="8" spans="1:16" ht="46.5" x14ac:dyDescent="0.35">
      <c r="A8" s="371" t="s">
        <v>649</v>
      </c>
      <c r="B8" s="180" t="s">
        <v>148</v>
      </c>
      <c r="C8" s="180"/>
      <c r="D8" s="180" t="s">
        <v>639</v>
      </c>
      <c r="E8" s="181">
        <v>50</v>
      </c>
      <c r="F8" s="182">
        <v>50000</v>
      </c>
      <c r="G8" s="181" t="s">
        <v>507</v>
      </c>
      <c r="H8" s="183" t="s">
        <v>287</v>
      </c>
      <c r="I8" s="184" t="s">
        <v>485</v>
      </c>
      <c r="J8" s="185">
        <v>62611.45</v>
      </c>
      <c r="K8" s="185">
        <v>289</v>
      </c>
      <c r="L8" s="366">
        <v>62611.45</v>
      </c>
      <c r="M8" s="185"/>
      <c r="N8" s="137" t="s">
        <v>314</v>
      </c>
    </row>
    <row r="9" spans="1:16" ht="80.150000000000006" customHeight="1" x14ac:dyDescent="0.35">
      <c r="A9" s="371" t="s">
        <v>650</v>
      </c>
      <c r="B9" s="198"/>
      <c r="C9" s="198" t="s">
        <v>149</v>
      </c>
      <c r="D9" s="198" t="s">
        <v>639</v>
      </c>
      <c r="E9" s="199">
        <v>3</v>
      </c>
      <c r="F9" s="200">
        <v>198000</v>
      </c>
      <c r="G9" s="199" t="s">
        <v>506</v>
      </c>
      <c r="H9" s="201">
        <v>44376</v>
      </c>
      <c r="I9" s="202" t="s">
        <v>464</v>
      </c>
      <c r="J9" s="203">
        <v>230276.31</v>
      </c>
      <c r="K9" s="203">
        <v>314</v>
      </c>
      <c r="L9" s="367">
        <v>230276.31</v>
      </c>
      <c r="M9" s="203"/>
      <c r="N9" s="179"/>
    </row>
    <row r="10" spans="1:16" ht="48.75" customHeight="1" x14ac:dyDescent="0.35">
      <c r="A10" s="372" t="s">
        <v>150</v>
      </c>
      <c r="B10" s="186"/>
      <c r="C10" s="186" t="s">
        <v>150</v>
      </c>
      <c r="D10" s="186" t="s">
        <v>639</v>
      </c>
      <c r="E10" s="187">
        <v>2</v>
      </c>
      <c r="F10" s="188">
        <v>8000</v>
      </c>
      <c r="G10" s="181" t="s">
        <v>151</v>
      </c>
      <c r="H10" s="183" t="s">
        <v>152</v>
      </c>
      <c r="I10" s="186" t="s">
        <v>505</v>
      </c>
      <c r="J10" s="185">
        <v>17054.22</v>
      </c>
      <c r="K10" s="185">
        <v>68</v>
      </c>
      <c r="L10" s="366">
        <v>17054.22</v>
      </c>
      <c r="M10" s="185"/>
      <c r="N10" s="137" t="s">
        <v>314</v>
      </c>
    </row>
    <row r="11" spans="1:16" ht="46.5" x14ac:dyDescent="0.35">
      <c r="A11" s="371" t="s">
        <v>153</v>
      </c>
      <c r="B11" s="180"/>
      <c r="C11" s="180" t="s">
        <v>153</v>
      </c>
      <c r="D11" s="180" t="s">
        <v>639</v>
      </c>
      <c r="E11" s="181">
        <v>20</v>
      </c>
      <c r="F11" s="182">
        <v>92000</v>
      </c>
      <c r="G11" s="181" t="s">
        <v>214</v>
      </c>
      <c r="H11" s="183" t="s">
        <v>215</v>
      </c>
      <c r="I11" s="184" t="s">
        <v>504</v>
      </c>
      <c r="J11" s="185">
        <v>171215</v>
      </c>
      <c r="K11" s="185" t="s">
        <v>503</v>
      </c>
      <c r="L11" s="366">
        <v>171215</v>
      </c>
      <c r="M11" s="185"/>
      <c r="N11" s="137" t="s">
        <v>314</v>
      </c>
    </row>
    <row r="12" spans="1:16" ht="45" x14ac:dyDescent="0.35">
      <c r="A12" s="371" t="s">
        <v>154</v>
      </c>
      <c r="B12" s="211"/>
      <c r="C12" s="198" t="s">
        <v>154</v>
      </c>
      <c r="D12" s="198" t="s">
        <v>639</v>
      </c>
      <c r="E12" s="199">
        <v>20</v>
      </c>
      <c r="F12" s="200">
        <v>10000</v>
      </c>
      <c r="G12" s="199" t="s">
        <v>502</v>
      </c>
      <c r="H12" s="199" t="s">
        <v>501</v>
      </c>
      <c r="I12" s="202" t="s">
        <v>500</v>
      </c>
      <c r="J12" s="203">
        <v>29407.15</v>
      </c>
      <c r="K12" s="203">
        <v>115</v>
      </c>
      <c r="L12" s="367">
        <v>29407.15</v>
      </c>
      <c r="M12" s="203"/>
      <c r="N12" s="179"/>
    </row>
    <row r="13" spans="1:16" ht="53.25" customHeight="1" x14ac:dyDescent="0.35">
      <c r="A13" s="370" t="s">
        <v>39</v>
      </c>
      <c r="B13" s="189" t="s">
        <v>39</v>
      </c>
      <c r="C13" s="189" t="s">
        <v>155</v>
      </c>
      <c r="D13" s="189" t="s">
        <v>639</v>
      </c>
      <c r="E13" s="190">
        <v>5</v>
      </c>
      <c r="F13" s="191">
        <v>50000</v>
      </c>
      <c r="G13" s="190" t="s">
        <v>285</v>
      </c>
      <c r="H13" s="192" t="s">
        <v>499</v>
      </c>
      <c r="I13" s="193" t="s">
        <v>512</v>
      </c>
      <c r="J13" s="194">
        <v>37570.5</v>
      </c>
      <c r="K13" s="194">
        <v>181</v>
      </c>
      <c r="L13" s="368">
        <v>37570.5</v>
      </c>
      <c r="M13" s="194"/>
      <c r="N13" s="137" t="s">
        <v>314</v>
      </c>
    </row>
    <row r="14" spans="1:16" ht="45" x14ac:dyDescent="0.35">
      <c r="A14" s="370" t="s">
        <v>641</v>
      </c>
      <c r="B14" s="204" t="s">
        <v>156</v>
      </c>
      <c r="C14" s="205" t="s">
        <v>156</v>
      </c>
      <c r="D14" s="205" t="s">
        <v>639</v>
      </c>
      <c r="E14" s="206">
        <v>2</v>
      </c>
      <c r="F14" s="207">
        <v>230000</v>
      </c>
      <c r="G14" s="206" t="s">
        <v>473</v>
      </c>
      <c r="H14" s="208" t="s">
        <v>472</v>
      </c>
      <c r="I14" s="209" t="s">
        <v>513</v>
      </c>
      <c r="J14" s="210">
        <v>417510.5</v>
      </c>
      <c r="K14" s="210">
        <v>700</v>
      </c>
      <c r="L14" s="369">
        <v>417510.5</v>
      </c>
      <c r="M14" s="210"/>
      <c r="N14" s="209"/>
    </row>
    <row r="15" spans="1:16" ht="46.5" x14ac:dyDescent="0.35">
      <c r="A15" s="371" t="s">
        <v>93</v>
      </c>
      <c r="B15" s="195" t="s">
        <v>92</v>
      </c>
      <c r="C15" s="180" t="s">
        <v>93</v>
      </c>
      <c r="D15" s="180" t="s">
        <v>639</v>
      </c>
      <c r="E15" s="181">
        <v>2</v>
      </c>
      <c r="F15" s="182">
        <v>400000</v>
      </c>
      <c r="G15" s="181">
        <v>1063017092</v>
      </c>
      <c r="H15" s="196" t="s">
        <v>283</v>
      </c>
      <c r="I15" s="184" t="s">
        <v>498</v>
      </c>
      <c r="J15" s="185">
        <v>235950</v>
      </c>
      <c r="K15" s="185">
        <v>285</v>
      </c>
      <c r="L15" s="366">
        <v>235950</v>
      </c>
      <c r="M15" s="185"/>
      <c r="N15" s="137" t="s">
        <v>314</v>
      </c>
    </row>
    <row r="16" spans="1:16" ht="46.5" x14ac:dyDescent="0.35">
      <c r="A16" s="371" t="s">
        <v>158</v>
      </c>
      <c r="B16" s="195" t="s">
        <v>157</v>
      </c>
      <c r="C16" s="180" t="s">
        <v>158</v>
      </c>
      <c r="D16" s="180" t="s">
        <v>639</v>
      </c>
      <c r="E16" s="181">
        <v>5</v>
      </c>
      <c r="F16" s="182">
        <v>350000</v>
      </c>
      <c r="G16" s="181" t="s">
        <v>497</v>
      </c>
      <c r="H16" s="196" t="s">
        <v>252</v>
      </c>
      <c r="I16" s="184" t="s">
        <v>462</v>
      </c>
      <c r="J16" s="185">
        <v>252890</v>
      </c>
      <c r="K16" s="185">
        <v>275</v>
      </c>
      <c r="L16" s="366">
        <v>252890</v>
      </c>
      <c r="M16" s="185"/>
      <c r="N16" s="137" t="s">
        <v>314</v>
      </c>
    </row>
    <row r="17" spans="1:14" ht="56" x14ac:dyDescent="0.35">
      <c r="A17" s="364" t="s">
        <v>640</v>
      </c>
      <c r="B17" s="197"/>
      <c r="C17" s="180" t="s">
        <v>96</v>
      </c>
      <c r="D17" s="180" t="s">
        <v>639</v>
      </c>
      <c r="E17" s="181">
        <v>8</v>
      </c>
      <c r="F17" s="182">
        <v>400000</v>
      </c>
      <c r="G17" s="181" t="s">
        <v>216</v>
      </c>
      <c r="H17" s="196" t="s">
        <v>209</v>
      </c>
      <c r="I17" s="184" t="s">
        <v>462</v>
      </c>
      <c r="J17" s="185">
        <v>300866.5</v>
      </c>
      <c r="K17" s="185">
        <v>169</v>
      </c>
      <c r="L17" s="366">
        <v>300866.5</v>
      </c>
      <c r="M17" s="185"/>
      <c r="N17" s="137" t="s">
        <v>314</v>
      </c>
    </row>
    <row r="18" spans="1:14" ht="46.5" x14ac:dyDescent="0.35">
      <c r="A18" s="370" t="s">
        <v>79</v>
      </c>
      <c r="B18" s="195" t="s">
        <v>79</v>
      </c>
      <c r="C18" s="180" t="s">
        <v>79</v>
      </c>
      <c r="D18" s="180" t="s">
        <v>639</v>
      </c>
      <c r="E18" s="181">
        <v>50</v>
      </c>
      <c r="F18" s="182">
        <v>37500</v>
      </c>
      <c r="G18" s="181" t="s">
        <v>313</v>
      </c>
      <c r="H18" s="196" t="s">
        <v>217</v>
      </c>
      <c r="I18" s="184" t="s">
        <v>462</v>
      </c>
      <c r="J18" s="185">
        <v>1754.5</v>
      </c>
      <c r="K18" s="185">
        <v>164</v>
      </c>
      <c r="L18" s="366">
        <v>1754.5</v>
      </c>
      <c r="M18" s="185"/>
      <c r="N18" s="137" t="s">
        <v>314</v>
      </c>
    </row>
    <row r="19" spans="1:14" ht="46.5" x14ac:dyDescent="0.35">
      <c r="A19" s="502" t="s">
        <v>159</v>
      </c>
      <c r="B19" s="197"/>
      <c r="C19" s="496" t="s">
        <v>159</v>
      </c>
      <c r="D19" s="180" t="s">
        <v>639</v>
      </c>
      <c r="E19" s="496">
        <v>100</v>
      </c>
      <c r="F19" s="496">
        <v>15000</v>
      </c>
      <c r="G19" s="181" t="s">
        <v>160</v>
      </c>
      <c r="H19" s="196">
        <v>44214</v>
      </c>
      <c r="I19" s="184" t="s">
        <v>496</v>
      </c>
      <c r="J19" s="185">
        <v>2952.4</v>
      </c>
      <c r="K19" s="185">
        <v>70</v>
      </c>
      <c r="L19" s="366">
        <v>2952.4</v>
      </c>
      <c r="M19" s="185"/>
      <c r="N19" s="137" t="s">
        <v>314</v>
      </c>
    </row>
    <row r="20" spans="1:14" ht="46.5" x14ac:dyDescent="0.35">
      <c r="A20" s="503"/>
      <c r="B20" s="197"/>
      <c r="C20" s="499"/>
      <c r="D20" s="180" t="s">
        <v>639</v>
      </c>
      <c r="E20" s="499"/>
      <c r="F20" s="499"/>
      <c r="G20" s="496" t="s">
        <v>288</v>
      </c>
      <c r="H20" s="500" t="s">
        <v>252</v>
      </c>
      <c r="I20" s="184" t="s">
        <v>462</v>
      </c>
      <c r="J20" s="514">
        <v>6884.9</v>
      </c>
      <c r="K20" s="300">
        <v>278</v>
      </c>
      <c r="L20" s="516">
        <v>6884.9</v>
      </c>
      <c r="M20" s="514"/>
      <c r="N20" s="137" t="s">
        <v>314</v>
      </c>
    </row>
    <row r="21" spans="1:14" ht="46.5" x14ac:dyDescent="0.35">
      <c r="A21" s="503"/>
      <c r="B21" s="197"/>
      <c r="C21" s="499"/>
      <c r="D21" s="180" t="s">
        <v>639</v>
      </c>
      <c r="E21" s="499"/>
      <c r="F21" s="499"/>
      <c r="G21" s="497"/>
      <c r="H21" s="501"/>
      <c r="I21" s="184" t="s">
        <v>462</v>
      </c>
      <c r="J21" s="515"/>
      <c r="K21" s="301"/>
      <c r="L21" s="517"/>
      <c r="M21" s="515"/>
      <c r="N21" s="137" t="s">
        <v>314</v>
      </c>
    </row>
    <row r="22" spans="1:14" ht="45" x14ac:dyDescent="0.35">
      <c r="A22" s="504"/>
      <c r="B22" s="197"/>
      <c r="C22" s="497"/>
      <c r="D22" s="180" t="s">
        <v>639</v>
      </c>
      <c r="E22" s="497"/>
      <c r="F22" s="497"/>
      <c r="G22" s="199" t="s">
        <v>495</v>
      </c>
      <c r="H22" s="201" t="s">
        <v>494</v>
      </c>
      <c r="I22" s="179" t="s">
        <v>462</v>
      </c>
      <c r="J22" s="203">
        <v>4089.8</v>
      </c>
      <c r="K22" s="203">
        <v>738</v>
      </c>
      <c r="L22" s="367">
        <v>4089.8</v>
      </c>
      <c r="M22" s="203"/>
      <c r="N22" s="179"/>
    </row>
    <row r="23" spans="1:14" ht="57" customHeight="1" x14ac:dyDescent="0.35">
      <c r="A23" s="371" t="s">
        <v>161</v>
      </c>
      <c r="B23" s="197"/>
      <c r="C23" s="180" t="s">
        <v>161</v>
      </c>
      <c r="D23" s="180" t="s">
        <v>639</v>
      </c>
      <c r="E23" s="181">
        <v>50</v>
      </c>
      <c r="F23" s="182">
        <v>75000</v>
      </c>
      <c r="G23" s="181" t="s">
        <v>218</v>
      </c>
      <c r="H23" s="183" t="s">
        <v>493</v>
      </c>
      <c r="I23" s="186" t="s">
        <v>484</v>
      </c>
      <c r="J23" s="185">
        <v>83187.5</v>
      </c>
      <c r="K23" s="185">
        <v>165</v>
      </c>
      <c r="L23" s="366">
        <v>83187.5</v>
      </c>
      <c r="M23" s="185"/>
      <c r="N23" s="137" t="s">
        <v>314</v>
      </c>
    </row>
    <row r="24" spans="1:14" ht="46.5" x14ac:dyDescent="0.35">
      <c r="A24" s="371" t="s">
        <v>642</v>
      </c>
      <c r="B24" s="197"/>
      <c r="C24" s="180" t="s">
        <v>162</v>
      </c>
      <c r="D24" s="180" t="s">
        <v>639</v>
      </c>
      <c r="E24" s="181">
        <v>30</v>
      </c>
      <c r="F24" s="182">
        <v>60000</v>
      </c>
      <c r="G24" s="181" t="s">
        <v>310</v>
      </c>
      <c r="H24" s="183" t="s">
        <v>295</v>
      </c>
      <c r="I24" s="184" t="s">
        <v>485</v>
      </c>
      <c r="J24" s="185">
        <v>76883.399999999994</v>
      </c>
      <c r="K24" s="185">
        <v>288</v>
      </c>
      <c r="L24" s="366">
        <v>76883.399999999994</v>
      </c>
      <c r="M24" s="185"/>
      <c r="N24" s="137" t="s">
        <v>314</v>
      </c>
    </row>
    <row r="25" spans="1:14" ht="63.75" customHeight="1" x14ac:dyDescent="0.35">
      <c r="A25" s="371" t="s">
        <v>100</v>
      </c>
      <c r="B25" s="197"/>
      <c r="C25" s="180" t="s">
        <v>100</v>
      </c>
      <c r="D25" s="180" t="s">
        <v>639</v>
      </c>
      <c r="E25" s="181">
        <v>10</v>
      </c>
      <c r="F25" s="182">
        <v>15000</v>
      </c>
      <c r="G25" s="181" t="s">
        <v>219</v>
      </c>
      <c r="H25" s="183" t="s">
        <v>493</v>
      </c>
      <c r="I25" s="186" t="s">
        <v>484</v>
      </c>
      <c r="J25" s="185">
        <v>16153.5</v>
      </c>
      <c r="K25" s="185">
        <v>167</v>
      </c>
      <c r="L25" s="366">
        <v>16153.5</v>
      </c>
      <c r="M25" s="185"/>
      <c r="N25" s="137" t="s">
        <v>314</v>
      </c>
    </row>
    <row r="26" spans="1:14" ht="45" x14ac:dyDescent="0.35">
      <c r="A26" s="364" t="s">
        <v>643</v>
      </c>
      <c r="B26" s="204" t="s">
        <v>163</v>
      </c>
      <c r="C26" s="198"/>
      <c r="D26" s="198" t="s">
        <v>639</v>
      </c>
      <c r="E26" s="199">
        <v>10</v>
      </c>
      <c r="F26" s="200">
        <v>50000</v>
      </c>
      <c r="G26" s="199" t="s">
        <v>492</v>
      </c>
      <c r="H26" s="199" t="s">
        <v>491</v>
      </c>
      <c r="I26" s="179" t="s">
        <v>462</v>
      </c>
      <c r="J26" s="203">
        <v>37026</v>
      </c>
      <c r="K26" s="203">
        <v>463</v>
      </c>
      <c r="L26" s="367">
        <v>37026</v>
      </c>
      <c r="M26" s="203"/>
      <c r="N26" s="179"/>
    </row>
    <row r="27" spans="1:14" ht="30" x14ac:dyDescent="0.35">
      <c r="A27" s="505" t="s">
        <v>644</v>
      </c>
      <c r="B27" s="508" t="s">
        <v>164</v>
      </c>
      <c r="C27" s="510"/>
      <c r="D27" s="298" t="s">
        <v>639</v>
      </c>
      <c r="E27" s="510">
        <v>3</v>
      </c>
      <c r="F27" s="512">
        <v>21000</v>
      </c>
      <c r="G27" s="199" t="s">
        <v>490</v>
      </c>
      <c r="H27" s="199" t="s">
        <v>489</v>
      </c>
      <c r="I27" s="179" t="s">
        <v>488</v>
      </c>
      <c r="J27" s="203">
        <v>11083.6</v>
      </c>
      <c r="K27" s="203">
        <v>382</v>
      </c>
      <c r="L27" s="367">
        <v>11083.6</v>
      </c>
      <c r="M27" s="203"/>
      <c r="N27" s="179"/>
    </row>
    <row r="28" spans="1:14" ht="45" x14ac:dyDescent="0.35">
      <c r="A28" s="505"/>
      <c r="B28" s="509"/>
      <c r="C28" s="511"/>
      <c r="D28" s="299" t="s">
        <v>639</v>
      </c>
      <c r="E28" s="511"/>
      <c r="F28" s="513"/>
      <c r="G28" s="199" t="s">
        <v>487</v>
      </c>
      <c r="H28" s="199" t="s">
        <v>486</v>
      </c>
      <c r="I28" s="179" t="s">
        <v>462</v>
      </c>
      <c r="J28" s="203">
        <v>8288.5</v>
      </c>
      <c r="K28" s="203">
        <v>399</v>
      </c>
      <c r="L28" s="367">
        <v>8288.5</v>
      </c>
      <c r="M28" s="203"/>
      <c r="N28" s="179"/>
    </row>
    <row r="29" spans="1:14" ht="46.5" x14ac:dyDescent="0.35">
      <c r="A29" s="370" t="s">
        <v>165</v>
      </c>
      <c r="B29" s="195" t="s">
        <v>165</v>
      </c>
      <c r="C29" s="180"/>
      <c r="D29" s="180" t="s">
        <v>639</v>
      </c>
      <c r="E29" s="181">
        <v>50</v>
      </c>
      <c r="F29" s="182">
        <v>15000</v>
      </c>
      <c r="G29" s="181" t="s">
        <v>166</v>
      </c>
      <c r="H29" s="183">
        <v>44228</v>
      </c>
      <c r="I29" s="184" t="s">
        <v>485</v>
      </c>
      <c r="J29" s="185">
        <v>4719</v>
      </c>
      <c r="K29" s="185">
        <v>78</v>
      </c>
      <c r="L29" s="366">
        <v>4719</v>
      </c>
      <c r="M29" s="185"/>
      <c r="N29" s="137" t="s">
        <v>314</v>
      </c>
    </row>
    <row r="30" spans="1:14" ht="57" customHeight="1" x14ac:dyDescent="0.35">
      <c r="A30" s="370" t="s">
        <v>102</v>
      </c>
      <c r="B30" s="195" t="s">
        <v>102</v>
      </c>
      <c r="C30" s="180"/>
      <c r="D30" s="180" t="s">
        <v>639</v>
      </c>
      <c r="E30" s="181">
        <v>5</v>
      </c>
      <c r="F30" s="182">
        <v>2900</v>
      </c>
      <c r="G30" s="181" t="s">
        <v>220</v>
      </c>
      <c r="H30" s="183">
        <v>44260</v>
      </c>
      <c r="I30" s="186" t="s">
        <v>484</v>
      </c>
      <c r="J30" s="185">
        <v>8076.75</v>
      </c>
      <c r="K30" s="185">
        <v>166</v>
      </c>
      <c r="L30" s="366">
        <v>8076.75</v>
      </c>
      <c r="M30" s="185"/>
      <c r="N30" s="137" t="s">
        <v>314</v>
      </c>
    </row>
    <row r="31" spans="1:14" ht="45" x14ac:dyDescent="0.35">
      <c r="A31" s="370" t="s">
        <v>167</v>
      </c>
      <c r="B31" s="204" t="s">
        <v>167</v>
      </c>
      <c r="C31" s="198"/>
      <c r="D31" s="198" t="s">
        <v>639</v>
      </c>
      <c r="E31" s="199">
        <v>2</v>
      </c>
      <c r="F31" s="200">
        <v>120000</v>
      </c>
      <c r="G31" s="199" t="s">
        <v>483</v>
      </c>
      <c r="H31" s="199" t="s">
        <v>482</v>
      </c>
      <c r="I31" s="179" t="s">
        <v>462</v>
      </c>
      <c r="J31" s="203">
        <v>131285</v>
      </c>
      <c r="K31" s="203">
        <v>464</v>
      </c>
      <c r="L31" s="367">
        <v>131285</v>
      </c>
      <c r="M31" s="203"/>
      <c r="N31" s="179"/>
    </row>
    <row r="32" spans="1:14" ht="45" x14ac:dyDescent="0.35">
      <c r="A32" s="370" t="s">
        <v>168</v>
      </c>
      <c r="B32" s="195" t="s">
        <v>168</v>
      </c>
      <c r="C32" s="180" t="s">
        <v>168</v>
      </c>
      <c r="D32" s="180" t="s">
        <v>639</v>
      </c>
      <c r="E32" s="181">
        <v>20</v>
      </c>
      <c r="F32" s="182">
        <v>9000</v>
      </c>
      <c r="G32" s="181" t="s">
        <v>221</v>
      </c>
      <c r="H32" s="183" t="s">
        <v>481</v>
      </c>
      <c r="I32" s="184" t="s">
        <v>462</v>
      </c>
      <c r="J32" s="185">
        <v>10357.6</v>
      </c>
      <c r="K32" s="185">
        <v>124</v>
      </c>
      <c r="L32" s="366">
        <v>10357.6</v>
      </c>
      <c r="M32" s="185"/>
      <c r="N32" s="184" t="s">
        <v>314</v>
      </c>
    </row>
    <row r="33" spans="1:14" ht="45" x14ac:dyDescent="0.35">
      <c r="A33" s="370" t="s">
        <v>84</v>
      </c>
      <c r="B33" s="195" t="s">
        <v>84</v>
      </c>
      <c r="C33" s="180" t="s">
        <v>480</v>
      </c>
      <c r="D33" s="180" t="s">
        <v>639</v>
      </c>
      <c r="E33" s="181">
        <v>1</v>
      </c>
      <c r="F33" s="182">
        <v>30000</v>
      </c>
      <c r="G33" s="181" t="s">
        <v>479</v>
      </c>
      <c r="H33" s="183" t="s">
        <v>293</v>
      </c>
      <c r="I33" s="184" t="s">
        <v>478</v>
      </c>
      <c r="J33" s="185">
        <v>44091.19</v>
      </c>
      <c r="K33" s="185">
        <v>286</v>
      </c>
      <c r="L33" s="366">
        <v>44091.19</v>
      </c>
      <c r="M33" s="185"/>
      <c r="N33" s="184" t="s">
        <v>314</v>
      </c>
    </row>
    <row r="34" spans="1:14" ht="45" x14ac:dyDescent="0.35">
      <c r="A34" s="364" t="s">
        <v>645</v>
      </c>
      <c r="B34" s="197"/>
      <c r="C34" s="180" t="s">
        <v>110</v>
      </c>
      <c r="D34" s="180" t="s">
        <v>639</v>
      </c>
      <c r="E34" s="181">
        <v>20</v>
      </c>
      <c r="F34" s="182">
        <v>28000</v>
      </c>
      <c r="G34" s="181" t="s">
        <v>222</v>
      </c>
      <c r="H34" s="183" t="s">
        <v>477</v>
      </c>
      <c r="I34" s="184" t="s">
        <v>476</v>
      </c>
      <c r="J34" s="185">
        <v>4355.76</v>
      </c>
      <c r="K34" s="185">
        <v>153</v>
      </c>
      <c r="L34" s="366">
        <v>4355.76</v>
      </c>
      <c r="M34" s="185"/>
      <c r="N34" s="184" t="s">
        <v>314</v>
      </c>
    </row>
    <row r="35" spans="1:14" ht="50.25" customHeight="1" x14ac:dyDescent="0.35">
      <c r="A35" s="364" t="s">
        <v>646</v>
      </c>
      <c r="B35" s="197"/>
      <c r="C35" s="180" t="s">
        <v>169</v>
      </c>
      <c r="D35" s="180" t="s">
        <v>639</v>
      </c>
      <c r="E35" s="181">
        <v>7</v>
      </c>
      <c r="F35" s="182">
        <v>4690</v>
      </c>
      <c r="G35" s="181" t="s">
        <v>284</v>
      </c>
      <c r="H35" s="183" t="s">
        <v>252</v>
      </c>
      <c r="I35" s="184" t="s">
        <v>464</v>
      </c>
      <c r="J35" s="185">
        <v>9909.9</v>
      </c>
      <c r="K35" s="185">
        <v>182</v>
      </c>
      <c r="L35" s="366">
        <v>9909.9</v>
      </c>
      <c r="M35" s="185"/>
      <c r="N35" s="184" t="s">
        <v>314</v>
      </c>
    </row>
    <row r="36" spans="1:14" ht="80.150000000000006" customHeight="1" x14ac:dyDescent="0.35">
      <c r="A36" s="370" t="s">
        <v>170</v>
      </c>
      <c r="B36" s="204" t="s">
        <v>170</v>
      </c>
      <c r="C36" s="198"/>
      <c r="D36" s="198" t="s">
        <v>639</v>
      </c>
      <c r="E36" s="199">
        <v>2</v>
      </c>
      <c r="F36" s="200">
        <v>19200</v>
      </c>
      <c r="G36" s="199" t="s">
        <v>475</v>
      </c>
      <c r="H36" s="201" t="s">
        <v>474</v>
      </c>
      <c r="I36" s="179" t="s">
        <v>464</v>
      </c>
      <c r="J36" s="203">
        <v>22990</v>
      </c>
      <c r="K36" s="203">
        <v>333</v>
      </c>
      <c r="L36" s="367">
        <v>22990</v>
      </c>
      <c r="M36" s="203"/>
      <c r="N36" s="179"/>
    </row>
    <row r="37" spans="1:14" ht="45" x14ac:dyDescent="0.35">
      <c r="A37" s="370" t="s">
        <v>171</v>
      </c>
      <c r="B37" s="204" t="s">
        <v>171</v>
      </c>
      <c r="C37" s="198"/>
      <c r="D37" s="198" t="s">
        <v>639</v>
      </c>
      <c r="E37" s="199">
        <v>1</v>
      </c>
      <c r="F37" s="200">
        <v>20000</v>
      </c>
      <c r="G37" s="199" t="s">
        <v>473</v>
      </c>
      <c r="H37" s="201" t="s">
        <v>472</v>
      </c>
      <c r="I37" s="179" t="s">
        <v>462</v>
      </c>
      <c r="J37" s="203">
        <v>23268.3</v>
      </c>
      <c r="K37" s="203">
        <v>700</v>
      </c>
      <c r="L37" s="367">
        <v>23268.3</v>
      </c>
      <c r="M37" s="203"/>
      <c r="N37" s="179"/>
    </row>
    <row r="38" spans="1:14" ht="30" x14ac:dyDescent="0.35">
      <c r="A38" s="364" t="s">
        <v>647</v>
      </c>
      <c r="B38" s="204"/>
      <c r="C38" s="198" t="s">
        <v>172</v>
      </c>
      <c r="D38" s="198" t="s">
        <v>639</v>
      </c>
      <c r="E38" s="199">
        <v>5</v>
      </c>
      <c r="F38" s="176">
        <v>500</v>
      </c>
      <c r="G38" s="199" t="s">
        <v>471</v>
      </c>
      <c r="H38" s="201" t="s">
        <v>470</v>
      </c>
      <c r="I38" s="179" t="s">
        <v>469</v>
      </c>
      <c r="J38" s="203">
        <v>150</v>
      </c>
      <c r="K38" s="203">
        <v>681</v>
      </c>
      <c r="L38" s="367">
        <v>150</v>
      </c>
      <c r="M38" s="203"/>
      <c r="N38" s="179"/>
    </row>
    <row r="39" spans="1:14" ht="45" x14ac:dyDescent="0.35">
      <c r="A39" s="370" t="s">
        <v>173</v>
      </c>
      <c r="B39" s="204" t="s">
        <v>173</v>
      </c>
      <c r="C39" s="198"/>
      <c r="D39" s="198" t="s">
        <v>639</v>
      </c>
      <c r="E39" s="199">
        <v>1</v>
      </c>
      <c r="F39" s="200">
        <v>50000</v>
      </c>
      <c r="G39" s="199" t="s">
        <v>468</v>
      </c>
      <c r="H39" s="201" t="s">
        <v>465</v>
      </c>
      <c r="I39" s="179" t="s">
        <v>467</v>
      </c>
      <c r="J39" s="203">
        <v>84511.23</v>
      </c>
      <c r="K39" s="203">
        <v>325</v>
      </c>
      <c r="L39" s="367">
        <v>84511.23</v>
      </c>
      <c r="M39" s="203"/>
      <c r="N39" s="179"/>
    </row>
    <row r="40" spans="1:14" ht="76.5" customHeight="1" x14ac:dyDescent="0.35">
      <c r="A40" s="364" t="s">
        <v>648</v>
      </c>
      <c r="B40" s="204"/>
      <c r="C40" s="198" t="s">
        <v>174</v>
      </c>
      <c r="D40" s="198" t="s">
        <v>639</v>
      </c>
      <c r="E40" s="199">
        <v>2</v>
      </c>
      <c r="F40" s="200">
        <v>26000</v>
      </c>
      <c r="G40" s="199" t="s">
        <v>466</v>
      </c>
      <c r="H40" s="201" t="s">
        <v>465</v>
      </c>
      <c r="I40" s="179" t="s">
        <v>464</v>
      </c>
      <c r="J40" s="203">
        <v>3482.38</v>
      </c>
      <c r="K40" s="203">
        <v>338</v>
      </c>
      <c r="L40" s="367">
        <v>3482.38</v>
      </c>
      <c r="M40" s="203"/>
      <c r="N40" s="179"/>
    </row>
    <row r="41" spans="1:14" ht="46.5" x14ac:dyDescent="0.35">
      <c r="A41" s="371" t="s">
        <v>175</v>
      </c>
      <c r="B41" s="195"/>
      <c r="C41" s="180" t="s">
        <v>175</v>
      </c>
      <c r="D41" s="180" t="s">
        <v>639</v>
      </c>
      <c r="E41" s="181">
        <v>2</v>
      </c>
      <c r="F41" s="182">
        <v>4500</v>
      </c>
      <c r="G41" s="181" t="s">
        <v>463</v>
      </c>
      <c r="H41" s="183" t="s">
        <v>252</v>
      </c>
      <c r="I41" s="184" t="s">
        <v>462</v>
      </c>
      <c r="J41" s="185">
        <v>9256.5</v>
      </c>
      <c r="K41" s="185">
        <v>279</v>
      </c>
      <c r="L41" s="366">
        <v>9256.5</v>
      </c>
      <c r="M41" s="185"/>
      <c r="N41" s="137" t="s">
        <v>314</v>
      </c>
    </row>
    <row r="42" spans="1:14" ht="46.5" x14ac:dyDescent="0.35">
      <c r="A42" s="370" t="s">
        <v>176</v>
      </c>
      <c r="B42" s="195" t="s">
        <v>176</v>
      </c>
      <c r="C42" s="180"/>
      <c r="D42" s="180" t="s">
        <v>639</v>
      </c>
      <c r="E42" s="181">
        <v>2</v>
      </c>
      <c r="F42" s="182">
        <v>20000</v>
      </c>
      <c r="G42" s="181" t="s">
        <v>286</v>
      </c>
      <c r="H42" s="183">
        <v>44278</v>
      </c>
      <c r="I42" s="184" t="s">
        <v>462</v>
      </c>
      <c r="J42" s="185">
        <v>21391.83</v>
      </c>
      <c r="K42" s="185">
        <v>283</v>
      </c>
      <c r="L42" s="366">
        <v>21391.83</v>
      </c>
      <c r="M42" s="185"/>
      <c r="N42" s="137" t="s">
        <v>314</v>
      </c>
    </row>
    <row r="43" spans="1:14" ht="42.75" customHeight="1" x14ac:dyDescent="0.35">
      <c r="A43" s="506" t="s">
        <v>511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7"/>
    </row>
    <row r="57" spans="13:13" x14ac:dyDescent="0.35">
      <c r="M57" s="27"/>
    </row>
  </sheetData>
  <mergeCells count="28">
    <mergeCell ref="A19:A22"/>
    <mergeCell ref="A27:A28"/>
    <mergeCell ref="A43:N43"/>
    <mergeCell ref="K5:M5"/>
    <mergeCell ref="A5:A6"/>
    <mergeCell ref="B27:B28"/>
    <mergeCell ref="C27:C28"/>
    <mergeCell ref="E27:E28"/>
    <mergeCell ref="F27:F28"/>
    <mergeCell ref="J20:J21"/>
    <mergeCell ref="L20:L21"/>
    <mergeCell ref="M20:M21"/>
    <mergeCell ref="A2:C2"/>
    <mergeCell ref="D5:D6"/>
    <mergeCell ref="G20:G21"/>
    <mergeCell ref="B3:N3"/>
    <mergeCell ref="B4:F4"/>
    <mergeCell ref="G4:N4"/>
    <mergeCell ref="B5:B6"/>
    <mergeCell ref="C5:C6"/>
    <mergeCell ref="E5:E6"/>
    <mergeCell ref="F5:F6"/>
    <mergeCell ref="G5:J5"/>
    <mergeCell ref="N5:N6"/>
    <mergeCell ref="C19:C22"/>
    <mergeCell ref="E19:E22"/>
    <mergeCell ref="F19:F22"/>
    <mergeCell ref="H20:H21"/>
  </mergeCells>
  <pageMargins left="0.7" right="0.7" top="0.75" bottom="0.75" header="0.3" footer="0.3"/>
  <pageSetup paperSize="9" scale="30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B89E-6886-4A41-A333-3BE401498788}">
  <sheetPr>
    <tabColor rgb="FF00B0F0"/>
  </sheetPr>
  <dimension ref="A1:N46"/>
  <sheetViews>
    <sheetView view="pageBreakPreview" zoomScale="60" zoomScaleNormal="80" workbookViewId="0">
      <selection activeCell="I18" sqref="I18"/>
    </sheetView>
  </sheetViews>
  <sheetFormatPr defaultColWidth="9.1796875" defaultRowHeight="14" x14ac:dyDescent="0.35"/>
  <cols>
    <col min="1" max="1" width="22.1796875" style="14" customWidth="1"/>
    <col min="2" max="2" width="33.81640625" style="14" customWidth="1"/>
    <col min="3" max="3" width="28.1796875" style="14" customWidth="1"/>
    <col min="4" max="4" width="28.81640625" style="14" customWidth="1"/>
    <col min="5" max="5" width="14.26953125" style="14" customWidth="1"/>
    <col min="6" max="6" width="16.81640625" style="14" customWidth="1"/>
    <col min="7" max="7" width="14.1796875" style="29" customWidth="1"/>
    <col min="8" max="8" width="14.1796875" style="30" customWidth="1"/>
    <col min="9" max="9" width="21" style="14" customWidth="1"/>
    <col min="10" max="11" width="14.26953125" style="14" customWidth="1"/>
    <col min="12" max="12" width="14.453125" style="14" customWidth="1"/>
    <col min="13" max="13" width="14.1796875" style="14" customWidth="1"/>
    <col min="14" max="14" width="34.453125" style="14" customWidth="1"/>
    <col min="15" max="16384" width="9.1796875" style="14"/>
  </cols>
  <sheetData>
    <row r="1" spans="1:14" ht="15.5" x14ac:dyDescent="0.35">
      <c r="B1" s="11"/>
      <c r="C1" s="11"/>
      <c r="D1" s="11"/>
      <c r="E1" s="11"/>
      <c r="F1" s="11"/>
      <c r="G1" s="20"/>
      <c r="H1" s="21"/>
      <c r="I1" s="427"/>
      <c r="J1" s="33">
        <f>J9+J11+J12+J13+J15+J16+J17+J18+J19+J20+J21+J22+J23+J24+J27+J28+J29+J31+J32+J33</f>
        <v>30523.899999999998</v>
      </c>
      <c r="K1" s="11"/>
      <c r="L1" s="11"/>
      <c r="M1" s="11"/>
      <c r="N1" s="12"/>
    </row>
    <row r="2" spans="1:14" ht="15.75" customHeight="1" x14ac:dyDescent="0.35">
      <c r="A2" s="563" t="s">
        <v>61</v>
      </c>
      <c r="B2" s="563"/>
      <c r="C2" s="11"/>
      <c r="D2" s="11"/>
      <c r="E2" s="11"/>
      <c r="F2" s="11"/>
      <c r="G2" s="20"/>
      <c r="H2" s="21"/>
      <c r="I2" s="426"/>
      <c r="J2" s="241">
        <f>J10+J30</f>
        <v>3218.6000000000004</v>
      </c>
      <c r="K2" s="241">
        <f>J2-J34</f>
        <v>2593.6000000000004</v>
      </c>
      <c r="L2" s="11"/>
      <c r="M2" s="11"/>
      <c r="N2" s="12"/>
    </row>
    <row r="3" spans="1:14" ht="15.5" x14ac:dyDescent="0.35">
      <c r="B3" s="11"/>
      <c r="C3" s="11"/>
      <c r="D3" s="11"/>
      <c r="E3" s="11"/>
      <c r="F3" s="11"/>
      <c r="G3" s="20"/>
      <c r="H3" s="21"/>
      <c r="I3" s="425"/>
      <c r="J3" s="428">
        <f>J25+J26+J34+J35+J36</f>
        <v>25250.199999999997</v>
      </c>
      <c r="K3" s="11"/>
      <c r="L3" s="11"/>
      <c r="M3" s="11"/>
      <c r="N3" s="12"/>
    </row>
    <row r="4" spans="1:14" ht="17.5" x14ac:dyDescent="0.35">
      <c r="B4" s="461" t="s">
        <v>299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</row>
    <row r="5" spans="1:14" ht="15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4" ht="15.75" customHeight="1" x14ac:dyDescent="0.35">
      <c r="A6" s="447" t="s">
        <v>612</v>
      </c>
      <c r="B6" s="447" t="s">
        <v>19</v>
      </c>
      <c r="C6" s="447" t="s">
        <v>223</v>
      </c>
      <c r="D6" s="447" t="s">
        <v>627</v>
      </c>
      <c r="E6" s="447" t="s">
        <v>21</v>
      </c>
      <c r="F6" s="447" t="s">
        <v>22</v>
      </c>
      <c r="G6" s="465" t="s">
        <v>279</v>
      </c>
      <c r="H6" s="466"/>
      <c r="I6" s="466"/>
      <c r="J6" s="467"/>
      <c r="K6" s="465" t="s">
        <v>278</v>
      </c>
      <c r="L6" s="466"/>
      <c r="M6" s="467"/>
      <c r="N6" s="447" t="s">
        <v>277</v>
      </c>
    </row>
    <row r="7" spans="1:14" ht="30" x14ac:dyDescent="0.35">
      <c r="A7" s="448"/>
      <c r="B7" s="448"/>
      <c r="C7" s="448"/>
      <c r="D7" s="448"/>
      <c r="E7" s="448"/>
      <c r="F7" s="448"/>
      <c r="G7" s="22" t="s">
        <v>24</v>
      </c>
      <c r="H7" s="23" t="s">
        <v>25</v>
      </c>
      <c r="I7" s="15" t="s">
        <v>26</v>
      </c>
      <c r="J7" s="15" t="s">
        <v>27</v>
      </c>
      <c r="K7" s="325" t="s">
        <v>613</v>
      </c>
      <c r="L7" s="325" t="s">
        <v>614</v>
      </c>
      <c r="M7" s="325" t="s">
        <v>615</v>
      </c>
      <c r="N7" s="448"/>
    </row>
    <row r="8" spans="1:14" s="26" customFormat="1" ht="15" x14ac:dyDescent="0.35">
      <c r="B8" s="16" t="s">
        <v>28</v>
      </c>
      <c r="C8" s="17" t="s">
        <v>29</v>
      </c>
      <c r="D8" s="17" t="s">
        <v>29</v>
      </c>
      <c r="E8" s="17"/>
      <c r="F8" s="24">
        <f>SUM(F9:F36)</f>
        <v>67509.665999999997</v>
      </c>
      <c r="G8" s="17" t="s">
        <v>29</v>
      </c>
      <c r="H8" s="25" t="s">
        <v>29</v>
      </c>
      <c r="I8" s="17" t="s">
        <v>29</v>
      </c>
      <c r="J8" s="24">
        <f>SUM(J9:J36)</f>
        <v>58992.7</v>
      </c>
      <c r="K8" s="24"/>
      <c r="L8" s="24">
        <f>SUM(L9:L36)</f>
        <v>58992.7</v>
      </c>
      <c r="M8" s="24"/>
      <c r="N8" s="17" t="s">
        <v>29</v>
      </c>
    </row>
    <row r="9" spans="1:14" ht="31" x14ac:dyDescent="0.35">
      <c r="B9" s="518"/>
      <c r="C9" s="528" t="s">
        <v>62</v>
      </c>
      <c r="D9" s="304" t="s">
        <v>639</v>
      </c>
      <c r="E9" s="518">
        <v>14</v>
      </c>
      <c r="F9" s="520">
        <v>3811.5</v>
      </c>
      <c r="G9" s="220" t="s">
        <v>561</v>
      </c>
      <c r="H9" s="238">
        <v>44012</v>
      </c>
      <c r="I9" s="239" t="s">
        <v>558</v>
      </c>
      <c r="J9" s="237">
        <v>1905.75</v>
      </c>
      <c r="K9" s="237" t="s">
        <v>560</v>
      </c>
      <c r="L9" s="224">
        <v>1905.75</v>
      </c>
      <c r="M9" s="225"/>
      <c r="N9" s="85" t="s">
        <v>316</v>
      </c>
    </row>
    <row r="10" spans="1:14" ht="49.5" customHeight="1" x14ac:dyDescent="0.35">
      <c r="A10" s="364" t="s">
        <v>646</v>
      </c>
      <c r="B10" s="519"/>
      <c r="C10" s="529"/>
      <c r="D10" s="305" t="s">
        <v>639</v>
      </c>
      <c r="E10" s="519"/>
      <c r="F10" s="521"/>
      <c r="G10" s="379" t="s">
        <v>559</v>
      </c>
      <c r="H10" s="430">
        <v>44365</v>
      </c>
      <c r="I10" s="431" t="s">
        <v>558</v>
      </c>
      <c r="J10" s="432">
        <v>2105.4</v>
      </c>
      <c r="K10" s="432" t="s">
        <v>557</v>
      </c>
      <c r="L10" s="433">
        <v>2105.4</v>
      </c>
      <c r="M10" s="432"/>
      <c r="N10" s="379"/>
    </row>
    <row r="11" spans="1:14" ht="31" x14ac:dyDescent="0.35">
      <c r="B11" s="236" t="s">
        <v>63</v>
      </c>
      <c r="C11" s="220" t="s">
        <v>63</v>
      </c>
      <c r="D11" s="220" t="s">
        <v>639</v>
      </c>
      <c r="E11" s="224">
        <v>4</v>
      </c>
      <c r="F11" s="223">
        <v>44.8</v>
      </c>
      <c r="G11" s="220">
        <v>6721733275</v>
      </c>
      <c r="H11" s="221">
        <v>44166</v>
      </c>
      <c r="I11" s="222" t="s">
        <v>64</v>
      </c>
      <c r="J11" s="223">
        <v>44.8</v>
      </c>
      <c r="K11" s="223" t="s">
        <v>556</v>
      </c>
      <c r="L11" s="224">
        <v>44.8</v>
      </c>
      <c r="M11" s="225"/>
      <c r="N11" s="85" t="s">
        <v>315</v>
      </c>
    </row>
    <row r="12" spans="1:14" ht="31" x14ac:dyDescent="0.35">
      <c r="B12" s="220" t="s">
        <v>65</v>
      </c>
      <c r="C12" s="220" t="s">
        <v>65</v>
      </c>
      <c r="D12" s="220" t="s">
        <v>639</v>
      </c>
      <c r="E12" s="224">
        <v>1</v>
      </c>
      <c r="F12" s="223">
        <v>1584</v>
      </c>
      <c r="G12" s="220" t="s">
        <v>555</v>
      </c>
      <c r="H12" s="221">
        <v>44164</v>
      </c>
      <c r="I12" s="222" t="s">
        <v>554</v>
      </c>
      <c r="J12" s="223">
        <v>1535.49</v>
      </c>
      <c r="K12" s="223" t="s">
        <v>553</v>
      </c>
      <c r="L12" s="224">
        <v>1535.49</v>
      </c>
      <c r="M12" s="225"/>
      <c r="N12" s="85" t="s">
        <v>315</v>
      </c>
    </row>
    <row r="13" spans="1:14" ht="31" x14ac:dyDescent="0.35">
      <c r="B13" s="522" t="s">
        <v>66</v>
      </c>
      <c r="C13" s="220" t="s">
        <v>67</v>
      </c>
      <c r="D13" s="302" t="s">
        <v>639</v>
      </c>
      <c r="E13" s="524">
        <v>2</v>
      </c>
      <c r="F13" s="526">
        <v>67.150000000000006</v>
      </c>
      <c r="G13" s="532">
        <v>6721732518</v>
      </c>
      <c r="H13" s="534">
        <v>44162</v>
      </c>
      <c r="I13" s="532" t="s">
        <v>64</v>
      </c>
      <c r="J13" s="524">
        <v>158.47</v>
      </c>
      <c r="K13" s="536" t="s">
        <v>552</v>
      </c>
      <c r="L13" s="524">
        <v>158.47</v>
      </c>
      <c r="M13" s="530"/>
      <c r="N13" s="85" t="s">
        <v>315</v>
      </c>
    </row>
    <row r="14" spans="1:14" ht="31" x14ac:dyDescent="0.35">
      <c r="B14" s="523"/>
      <c r="C14" s="227" t="s">
        <v>68</v>
      </c>
      <c r="D14" s="373" t="s">
        <v>639</v>
      </c>
      <c r="E14" s="525"/>
      <c r="F14" s="527"/>
      <c r="G14" s="533"/>
      <c r="H14" s="535"/>
      <c r="I14" s="533"/>
      <c r="J14" s="525"/>
      <c r="K14" s="537"/>
      <c r="L14" s="525"/>
      <c r="M14" s="531"/>
      <c r="N14" s="85" t="s">
        <v>315</v>
      </c>
    </row>
    <row r="15" spans="1:14" ht="31" x14ac:dyDescent="0.35">
      <c r="B15" s="532" t="s">
        <v>69</v>
      </c>
      <c r="C15" s="532" t="s">
        <v>69</v>
      </c>
      <c r="D15" s="302" t="s">
        <v>639</v>
      </c>
      <c r="E15" s="524">
        <v>6</v>
      </c>
      <c r="F15" s="526">
        <v>2344.5</v>
      </c>
      <c r="G15" s="220">
        <v>34391</v>
      </c>
      <c r="H15" s="221">
        <v>43979</v>
      </c>
      <c r="I15" s="222" t="s">
        <v>551</v>
      </c>
      <c r="J15" s="237">
        <v>390.75</v>
      </c>
      <c r="K15" s="237" t="s">
        <v>550</v>
      </c>
      <c r="L15" s="224">
        <v>390.75</v>
      </c>
      <c r="M15" s="225"/>
      <c r="N15" s="85" t="s">
        <v>315</v>
      </c>
    </row>
    <row r="16" spans="1:14" ht="31" x14ac:dyDescent="0.35">
      <c r="B16" s="533"/>
      <c r="C16" s="533"/>
      <c r="D16" s="303" t="s">
        <v>639</v>
      </c>
      <c r="E16" s="525"/>
      <c r="F16" s="527"/>
      <c r="G16" s="220" t="s">
        <v>549</v>
      </c>
      <c r="H16" s="221">
        <v>44167</v>
      </c>
      <c r="I16" s="222" t="s">
        <v>548</v>
      </c>
      <c r="J16" s="237">
        <v>1977.12</v>
      </c>
      <c r="K16" s="237" t="s">
        <v>547</v>
      </c>
      <c r="L16" s="224">
        <v>1977.12</v>
      </c>
      <c r="M16" s="225"/>
      <c r="N16" s="85" t="s">
        <v>315</v>
      </c>
    </row>
    <row r="17" spans="1:14" ht="31" x14ac:dyDescent="0.35">
      <c r="B17" s="539" t="s">
        <v>546</v>
      </c>
      <c r="C17" s="539" t="s">
        <v>546</v>
      </c>
      <c r="D17" s="308" t="s">
        <v>639</v>
      </c>
      <c r="E17" s="518">
        <v>2</v>
      </c>
      <c r="F17" s="520">
        <v>1147.1859999999999</v>
      </c>
      <c r="G17" s="220" t="s">
        <v>545</v>
      </c>
      <c r="H17" s="221">
        <v>44057</v>
      </c>
      <c r="I17" s="222" t="s">
        <v>544</v>
      </c>
      <c r="J17" s="223">
        <v>263</v>
      </c>
      <c r="K17" s="223" t="s">
        <v>543</v>
      </c>
      <c r="L17" s="224">
        <v>263</v>
      </c>
      <c r="M17" s="225"/>
      <c r="N17" s="85" t="s">
        <v>315</v>
      </c>
    </row>
    <row r="18" spans="1:14" ht="31" x14ac:dyDescent="0.35">
      <c r="B18" s="540"/>
      <c r="C18" s="540"/>
      <c r="D18" s="309" t="s">
        <v>639</v>
      </c>
      <c r="E18" s="541"/>
      <c r="F18" s="542"/>
      <c r="G18" s="220" t="s">
        <v>542</v>
      </c>
      <c r="H18" s="221">
        <v>43908</v>
      </c>
      <c r="I18" s="222" t="s">
        <v>541</v>
      </c>
      <c r="J18" s="223">
        <v>370.26</v>
      </c>
      <c r="K18" s="223" t="s">
        <v>540</v>
      </c>
      <c r="L18" s="224">
        <v>370.26</v>
      </c>
      <c r="M18" s="225"/>
      <c r="N18" s="85" t="s">
        <v>315</v>
      </c>
    </row>
    <row r="19" spans="1:14" ht="31" x14ac:dyDescent="0.35">
      <c r="B19" s="540"/>
      <c r="C19" s="540"/>
      <c r="D19" s="309" t="s">
        <v>639</v>
      </c>
      <c r="E19" s="541"/>
      <c r="F19" s="542"/>
      <c r="G19" s="220" t="s">
        <v>539</v>
      </c>
      <c r="H19" s="221">
        <v>44161</v>
      </c>
      <c r="I19" s="222" t="s">
        <v>530</v>
      </c>
      <c r="J19" s="223">
        <v>40.24</v>
      </c>
      <c r="K19" s="223" t="s">
        <v>534</v>
      </c>
      <c r="L19" s="224">
        <v>40.24</v>
      </c>
      <c r="M19" s="225"/>
      <c r="N19" s="85" t="s">
        <v>315</v>
      </c>
    </row>
    <row r="20" spans="1:14" ht="31" x14ac:dyDescent="0.35">
      <c r="B20" s="540"/>
      <c r="C20" s="540"/>
      <c r="D20" s="309" t="s">
        <v>639</v>
      </c>
      <c r="E20" s="541"/>
      <c r="F20" s="542"/>
      <c r="G20" s="220" t="s">
        <v>538</v>
      </c>
      <c r="H20" s="221">
        <v>44160</v>
      </c>
      <c r="I20" s="222" t="s">
        <v>530</v>
      </c>
      <c r="J20" s="223">
        <v>31.61</v>
      </c>
      <c r="K20" s="223" t="s">
        <v>536</v>
      </c>
      <c r="L20" s="224">
        <v>31.61</v>
      </c>
      <c r="M20" s="225"/>
      <c r="N20" s="85" t="s">
        <v>315</v>
      </c>
    </row>
    <row r="21" spans="1:14" ht="31" x14ac:dyDescent="0.35">
      <c r="B21" s="540"/>
      <c r="C21" s="540"/>
      <c r="D21" s="309" t="s">
        <v>639</v>
      </c>
      <c r="E21" s="541"/>
      <c r="F21" s="542"/>
      <c r="G21" s="220" t="s">
        <v>537</v>
      </c>
      <c r="H21" s="221">
        <v>44160</v>
      </c>
      <c r="I21" s="222" t="s">
        <v>530</v>
      </c>
      <c r="J21" s="223">
        <v>11.49</v>
      </c>
      <c r="K21" s="223" t="s">
        <v>536</v>
      </c>
      <c r="L21" s="224">
        <v>11.49</v>
      </c>
      <c r="M21" s="225"/>
      <c r="N21" s="85" t="s">
        <v>315</v>
      </c>
    </row>
    <row r="22" spans="1:14" ht="31" x14ac:dyDescent="0.35">
      <c r="B22" s="540"/>
      <c r="C22" s="540"/>
      <c r="D22" s="309" t="s">
        <v>639</v>
      </c>
      <c r="E22" s="541"/>
      <c r="F22" s="542"/>
      <c r="G22" s="220" t="s">
        <v>535</v>
      </c>
      <c r="H22" s="221">
        <v>44161</v>
      </c>
      <c r="I22" s="222" t="s">
        <v>530</v>
      </c>
      <c r="J22" s="223">
        <v>337.69</v>
      </c>
      <c r="K22" s="223" t="s">
        <v>534</v>
      </c>
      <c r="L22" s="224">
        <v>337.69</v>
      </c>
      <c r="M22" s="225"/>
      <c r="N22" s="85" t="s">
        <v>315</v>
      </c>
    </row>
    <row r="23" spans="1:14" ht="31" x14ac:dyDescent="0.35">
      <c r="B23" s="540"/>
      <c r="C23" s="540"/>
      <c r="D23" s="309" t="s">
        <v>639</v>
      </c>
      <c r="E23" s="541"/>
      <c r="F23" s="542"/>
      <c r="G23" s="220" t="s">
        <v>533</v>
      </c>
      <c r="H23" s="221">
        <v>44159</v>
      </c>
      <c r="I23" s="222" t="s">
        <v>530</v>
      </c>
      <c r="J23" s="223">
        <v>14.5</v>
      </c>
      <c r="K23" s="223" t="s">
        <v>532</v>
      </c>
      <c r="L23" s="224">
        <v>14.5</v>
      </c>
      <c r="M23" s="225"/>
      <c r="N23" s="85" t="s">
        <v>315</v>
      </c>
    </row>
    <row r="24" spans="1:14" ht="31" x14ac:dyDescent="0.35">
      <c r="B24" s="540"/>
      <c r="C24" s="540"/>
      <c r="D24" s="309" t="s">
        <v>639</v>
      </c>
      <c r="E24" s="541"/>
      <c r="F24" s="542"/>
      <c r="G24" s="220" t="s">
        <v>531</v>
      </c>
      <c r="H24" s="221">
        <v>44146</v>
      </c>
      <c r="I24" s="222" t="s">
        <v>530</v>
      </c>
      <c r="J24" s="223">
        <v>13.84</v>
      </c>
      <c r="K24" s="223" t="s">
        <v>529</v>
      </c>
      <c r="L24" s="224">
        <v>13.84</v>
      </c>
      <c r="M24" s="225"/>
      <c r="N24" s="85" t="s">
        <v>315</v>
      </c>
    </row>
    <row r="25" spans="1:14" ht="15.5" x14ac:dyDescent="0.35">
      <c r="A25" s="564" t="s">
        <v>71</v>
      </c>
      <c r="B25" s="545" t="s">
        <v>70</v>
      </c>
      <c r="C25" s="543" t="s">
        <v>71</v>
      </c>
      <c r="D25" s="310" t="s">
        <v>639</v>
      </c>
      <c r="E25" s="547">
        <v>2</v>
      </c>
      <c r="F25" s="549">
        <v>12000</v>
      </c>
      <c r="G25" s="213" t="s">
        <v>72</v>
      </c>
      <c r="H25" s="214">
        <v>44173</v>
      </c>
      <c r="I25" s="215" t="s">
        <v>73</v>
      </c>
      <c r="J25" s="216">
        <v>5142.5</v>
      </c>
      <c r="K25" s="216" t="s">
        <v>74</v>
      </c>
      <c r="L25" s="216">
        <v>5142.5</v>
      </c>
      <c r="M25" s="218"/>
      <c r="N25" s="543" t="s">
        <v>314</v>
      </c>
    </row>
    <row r="26" spans="1:14" ht="30.75" customHeight="1" x14ac:dyDescent="0.35">
      <c r="A26" s="565"/>
      <c r="B26" s="546"/>
      <c r="C26" s="544"/>
      <c r="D26" s="311" t="s">
        <v>639</v>
      </c>
      <c r="E26" s="548"/>
      <c r="F26" s="550"/>
      <c r="G26" s="213" t="s">
        <v>117</v>
      </c>
      <c r="H26" s="214">
        <v>44211</v>
      </c>
      <c r="I26" s="215" t="s">
        <v>118</v>
      </c>
      <c r="J26" s="216">
        <v>6829</v>
      </c>
      <c r="K26" s="216" t="s">
        <v>119</v>
      </c>
      <c r="L26" s="216">
        <v>6829</v>
      </c>
      <c r="M26" s="216"/>
      <c r="N26" s="544"/>
    </row>
    <row r="27" spans="1:14" ht="31" x14ac:dyDescent="0.35">
      <c r="A27" s="566" t="s">
        <v>651</v>
      </c>
      <c r="B27" s="522" t="s">
        <v>70</v>
      </c>
      <c r="C27" s="532" t="s">
        <v>75</v>
      </c>
      <c r="D27" s="302" t="s">
        <v>639</v>
      </c>
      <c r="E27" s="524">
        <v>6</v>
      </c>
      <c r="F27" s="526">
        <v>3212.04</v>
      </c>
      <c r="G27" s="220">
        <v>52</v>
      </c>
      <c r="H27" s="221">
        <v>44098</v>
      </c>
      <c r="I27" s="222" t="s">
        <v>527</v>
      </c>
      <c r="J27" s="223">
        <v>1185.8</v>
      </c>
      <c r="K27" s="223" t="s">
        <v>528</v>
      </c>
      <c r="L27" s="223">
        <v>1185.8</v>
      </c>
      <c r="M27" s="225"/>
      <c r="N27" s="85" t="s">
        <v>316</v>
      </c>
    </row>
    <row r="28" spans="1:14" ht="31" x14ac:dyDescent="0.35">
      <c r="A28" s="567"/>
      <c r="B28" s="523"/>
      <c r="C28" s="533"/>
      <c r="D28" s="303" t="s">
        <v>639</v>
      </c>
      <c r="E28" s="525"/>
      <c r="F28" s="527"/>
      <c r="G28" s="220">
        <v>118</v>
      </c>
      <c r="H28" s="221">
        <v>44147</v>
      </c>
      <c r="I28" s="222" t="s">
        <v>527</v>
      </c>
      <c r="J28" s="223">
        <v>3747.37</v>
      </c>
      <c r="K28" s="223" t="s">
        <v>526</v>
      </c>
      <c r="L28" s="223">
        <v>3747.37</v>
      </c>
      <c r="M28" s="225"/>
      <c r="N28" s="85" t="s">
        <v>316</v>
      </c>
    </row>
    <row r="29" spans="1:14" ht="31" x14ac:dyDescent="0.35">
      <c r="B29" s="551"/>
      <c r="C29" s="528" t="s">
        <v>76</v>
      </c>
      <c r="D29" s="304" t="s">
        <v>639</v>
      </c>
      <c r="E29" s="518">
        <v>6</v>
      </c>
      <c r="F29" s="553">
        <v>11752.74</v>
      </c>
      <c r="G29" s="220" t="s">
        <v>525</v>
      </c>
      <c r="H29" s="221">
        <v>44085</v>
      </c>
      <c r="I29" s="220" t="s">
        <v>348</v>
      </c>
      <c r="J29" s="223">
        <v>9713</v>
      </c>
      <c r="K29" s="223" t="s">
        <v>524</v>
      </c>
      <c r="L29" s="223">
        <v>9713</v>
      </c>
      <c r="M29" s="225"/>
      <c r="N29" s="85" t="s">
        <v>316</v>
      </c>
    </row>
    <row r="30" spans="1:14" ht="15.5" x14ac:dyDescent="0.35">
      <c r="A30" s="364" t="s">
        <v>645</v>
      </c>
      <c r="B30" s="552"/>
      <c r="C30" s="529"/>
      <c r="D30" s="305" t="s">
        <v>639</v>
      </c>
      <c r="E30" s="519"/>
      <c r="F30" s="554"/>
      <c r="G30" s="232" t="s">
        <v>523</v>
      </c>
      <c r="H30" s="233">
        <v>44390</v>
      </c>
      <c r="I30" s="232" t="s">
        <v>348</v>
      </c>
      <c r="J30" s="235">
        <v>1113.2</v>
      </c>
      <c r="K30" s="235" t="s">
        <v>522</v>
      </c>
      <c r="L30" s="235">
        <v>1113.2</v>
      </c>
      <c r="M30" s="240"/>
      <c r="N30" s="232"/>
    </row>
    <row r="31" spans="1:14" ht="46.5" x14ac:dyDescent="0.35">
      <c r="B31" s="220"/>
      <c r="C31" s="220" t="s">
        <v>77</v>
      </c>
      <c r="D31" s="220" t="s">
        <v>639</v>
      </c>
      <c r="E31" s="224">
        <v>1</v>
      </c>
      <c r="F31" s="223">
        <v>7529.95</v>
      </c>
      <c r="G31" s="220" t="s">
        <v>521</v>
      </c>
      <c r="H31" s="221">
        <v>44126</v>
      </c>
      <c r="I31" s="222" t="s">
        <v>520</v>
      </c>
      <c r="J31" s="223">
        <v>7529.95</v>
      </c>
      <c r="K31" s="223" t="s">
        <v>519</v>
      </c>
      <c r="L31" s="223">
        <v>7529.95</v>
      </c>
      <c r="M31" s="225"/>
      <c r="N31" s="85" t="s">
        <v>316</v>
      </c>
    </row>
    <row r="32" spans="1:14" s="28" customFormat="1" ht="31" x14ac:dyDescent="0.35">
      <c r="B32" s="226" t="s">
        <v>78</v>
      </c>
      <c r="C32" s="227" t="s">
        <v>78</v>
      </c>
      <c r="D32" s="227" t="s">
        <v>639</v>
      </c>
      <c r="E32" s="228">
        <v>2</v>
      </c>
      <c r="F32" s="229">
        <v>800</v>
      </c>
      <c r="G32" s="227">
        <v>649958</v>
      </c>
      <c r="H32" s="230">
        <v>44146</v>
      </c>
      <c r="I32" s="231" t="s">
        <v>518</v>
      </c>
      <c r="J32" s="228">
        <v>926.07</v>
      </c>
      <c r="K32" s="223" t="s">
        <v>517</v>
      </c>
      <c r="L32" s="228">
        <v>926.07</v>
      </c>
      <c r="M32" s="228"/>
      <c r="N32" s="85" t="s">
        <v>316</v>
      </c>
    </row>
    <row r="33" spans="1:14" ht="33.75" customHeight="1" x14ac:dyDescent="0.35">
      <c r="B33" s="555" t="s">
        <v>79</v>
      </c>
      <c r="C33" s="557" t="s">
        <v>80</v>
      </c>
      <c r="D33" s="306" t="s">
        <v>639</v>
      </c>
      <c r="E33" s="559">
        <v>6</v>
      </c>
      <c r="F33" s="561">
        <v>1800</v>
      </c>
      <c r="G33" s="220" t="s">
        <v>516</v>
      </c>
      <c r="H33" s="221">
        <v>44165</v>
      </c>
      <c r="I33" s="222" t="s">
        <v>514</v>
      </c>
      <c r="J33" s="223">
        <v>326.70000000000005</v>
      </c>
      <c r="K33" s="223" t="s">
        <v>515</v>
      </c>
      <c r="L33" s="224">
        <v>326.70000000000005</v>
      </c>
      <c r="M33" s="225"/>
      <c r="N33" s="85" t="s">
        <v>316</v>
      </c>
    </row>
    <row r="34" spans="1:14" ht="62" x14ac:dyDescent="0.35">
      <c r="A34" s="364" t="s">
        <v>80</v>
      </c>
      <c r="B34" s="556"/>
      <c r="C34" s="558"/>
      <c r="D34" s="307" t="s">
        <v>639</v>
      </c>
      <c r="E34" s="560"/>
      <c r="F34" s="562"/>
      <c r="G34" s="391" t="s">
        <v>120</v>
      </c>
      <c r="H34" s="392">
        <v>44215</v>
      </c>
      <c r="I34" s="393" t="s">
        <v>121</v>
      </c>
      <c r="J34" s="394">
        <v>625</v>
      </c>
      <c r="K34" s="394" t="s">
        <v>122</v>
      </c>
      <c r="L34" s="394">
        <v>625</v>
      </c>
      <c r="M34" s="394"/>
      <c r="N34" s="395" t="s">
        <v>674</v>
      </c>
    </row>
    <row r="35" spans="1:14" ht="77.5" x14ac:dyDescent="0.35">
      <c r="A35" s="375" t="s">
        <v>81</v>
      </c>
      <c r="B35" s="422" t="s">
        <v>81</v>
      </c>
      <c r="C35" s="421" t="s">
        <v>82</v>
      </c>
      <c r="D35" s="421" t="s">
        <v>639</v>
      </c>
      <c r="E35" s="423">
        <v>1</v>
      </c>
      <c r="F35" s="424">
        <v>10986.8</v>
      </c>
      <c r="G35" s="213">
        <v>6721745247</v>
      </c>
      <c r="H35" s="214">
        <v>44186</v>
      </c>
      <c r="I35" s="215" t="s">
        <v>64</v>
      </c>
      <c r="J35" s="216">
        <v>2020.22</v>
      </c>
      <c r="K35" s="216" t="s">
        <v>83</v>
      </c>
      <c r="L35" s="216">
        <v>2020.22</v>
      </c>
      <c r="M35" s="218"/>
      <c r="N35" s="429" t="s">
        <v>314</v>
      </c>
    </row>
    <row r="36" spans="1:14" ht="46.5" x14ac:dyDescent="0.35">
      <c r="A36" s="374" t="s">
        <v>84</v>
      </c>
      <c r="B36" s="434" t="s">
        <v>84</v>
      </c>
      <c r="C36" s="213" t="s">
        <v>85</v>
      </c>
      <c r="D36" s="213" t="s">
        <v>639</v>
      </c>
      <c r="E36" s="217">
        <v>1</v>
      </c>
      <c r="F36" s="219">
        <v>10429</v>
      </c>
      <c r="G36" s="213" t="s">
        <v>224</v>
      </c>
      <c r="H36" s="214">
        <v>44258</v>
      </c>
      <c r="I36" s="215" t="s">
        <v>225</v>
      </c>
      <c r="J36" s="216">
        <v>10633.48</v>
      </c>
      <c r="K36" s="216" t="s">
        <v>226</v>
      </c>
      <c r="L36" s="216">
        <v>10633.48</v>
      </c>
      <c r="M36" s="216"/>
      <c r="N36" s="429" t="s">
        <v>314</v>
      </c>
    </row>
    <row r="37" spans="1:14" ht="15.5" x14ac:dyDescent="0.35">
      <c r="B37" s="11"/>
      <c r="C37" s="11"/>
      <c r="D37" s="11"/>
      <c r="E37" s="11"/>
      <c r="F37" s="11"/>
      <c r="G37" s="20"/>
      <c r="H37" s="21"/>
      <c r="I37" s="11"/>
      <c r="J37" s="11"/>
      <c r="K37" s="11"/>
      <c r="L37" s="11"/>
      <c r="M37" s="11"/>
      <c r="N37" s="12"/>
    </row>
    <row r="38" spans="1:14" ht="38.25" customHeight="1" x14ac:dyDescent="0.35">
      <c r="A38" s="538" t="s">
        <v>652</v>
      </c>
      <c r="B38" s="538"/>
      <c r="C38" s="538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</row>
    <row r="40" spans="1:14" x14ac:dyDescent="0.35">
      <c r="J40" s="33"/>
    </row>
    <row r="42" spans="1:14" x14ac:dyDescent="0.35">
      <c r="J42" s="33"/>
    </row>
    <row r="44" spans="1:14" x14ac:dyDescent="0.35">
      <c r="J44" s="33"/>
    </row>
    <row r="46" spans="1:14" x14ac:dyDescent="0.35">
      <c r="J46" s="33"/>
    </row>
  </sheetData>
  <mergeCells count="55">
    <mergeCell ref="E33:E34"/>
    <mergeCell ref="F33:F34"/>
    <mergeCell ref="A2:B2"/>
    <mergeCell ref="A6:A7"/>
    <mergeCell ref="A5:F5"/>
    <mergeCell ref="A25:A26"/>
    <mergeCell ref="A27:A28"/>
    <mergeCell ref="D6:D7"/>
    <mergeCell ref="B27:B28"/>
    <mergeCell ref="C27:C28"/>
    <mergeCell ref="E27:E28"/>
    <mergeCell ref="F27:F28"/>
    <mergeCell ref="B15:B16"/>
    <mergeCell ref="C15:C16"/>
    <mergeCell ref="E15:E16"/>
    <mergeCell ref="F15:F16"/>
    <mergeCell ref="A38:N38"/>
    <mergeCell ref="B17:B24"/>
    <mergeCell ref="C17:C24"/>
    <mergeCell ref="E17:E24"/>
    <mergeCell ref="F17:F24"/>
    <mergeCell ref="N25:N26"/>
    <mergeCell ref="B25:B26"/>
    <mergeCell ref="C25:C26"/>
    <mergeCell ref="E25:E26"/>
    <mergeCell ref="F25:F26"/>
    <mergeCell ref="B29:B30"/>
    <mergeCell ref="C29:C30"/>
    <mergeCell ref="E29:E30"/>
    <mergeCell ref="F29:F30"/>
    <mergeCell ref="B33:B34"/>
    <mergeCell ref="C33:C34"/>
    <mergeCell ref="M13:M14"/>
    <mergeCell ref="G13:G14"/>
    <mergeCell ref="H13:H14"/>
    <mergeCell ref="I13:I14"/>
    <mergeCell ref="J13:J14"/>
    <mergeCell ref="L13:L14"/>
    <mergeCell ref="K13:K14"/>
    <mergeCell ref="E9:E10"/>
    <mergeCell ref="F9:F10"/>
    <mergeCell ref="B13:B14"/>
    <mergeCell ref="E13:E14"/>
    <mergeCell ref="F13:F14"/>
    <mergeCell ref="B9:B10"/>
    <mergeCell ref="C9:C10"/>
    <mergeCell ref="B4:N4"/>
    <mergeCell ref="G5:N5"/>
    <mergeCell ref="B6:B7"/>
    <mergeCell ref="C6:C7"/>
    <mergeCell ref="E6:E7"/>
    <mergeCell ref="F6:F7"/>
    <mergeCell ref="G6:J6"/>
    <mergeCell ref="N6:N7"/>
    <mergeCell ref="K6:M6"/>
  </mergeCells>
  <pageMargins left="0.7" right="0.7" top="0.75" bottom="0.75" header="0.3" footer="0.3"/>
  <pageSetup paperSize="9" scale="30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3A9-5654-4CBB-A161-914206CE0F53}">
  <sheetPr>
    <tabColor rgb="FF00B0F0"/>
    <pageSetUpPr fitToPage="1"/>
  </sheetPr>
  <dimension ref="A1:O43"/>
  <sheetViews>
    <sheetView view="pageBreakPreview" zoomScale="60" zoomScaleNormal="80" workbookViewId="0">
      <selection activeCell="D9" sqref="D9:D41"/>
    </sheetView>
  </sheetViews>
  <sheetFormatPr defaultColWidth="9.1796875" defaultRowHeight="14" outlineLevelCol="1" x14ac:dyDescent="0.35"/>
  <cols>
    <col min="1" max="1" width="20.26953125" style="14" customWidth="1"/>
    <col min="2" max="2" width="27.453125" style="14" customWidth="1"/>
    <col min="3" max="3" width="29.7265625" style="14" customWidth="1"/>
    <col min="4" max="4" width="24.54296875" style="14" customWidth="1"/>
    <col min="5" max="5" width="14.26953125" style="14" customWidth="1"/>
    <col min="6" max="6" width="16.81640625" style="51" customWidth="1"/>
    <col min="7" max="7" width="14.1796875" style="14" customWidth="1" outlineLevel="1"/>
    <col min="8" max="8" width="14.1796875" style="43" customWidth="1" outlineLevel="1"/>
    <col min="9" max="9" width="21" style="14" customWidth="1"/>
    <col min="10" max="11" width="14.26953125" style="50" customWidth="1"/>
    <col min="12" max="12" width="13.453125" style="14" customWidth="1" outlineLevel="1"/>
    <col min="13" max="13" width="16.26953125" style="51" customWidth="1" outlineLevel="1"/>
    <col min="14" max="14" width="42.81640625" style="14" customWidth="1" outlineLevel="1"/>
    <col min="15" max="15" width="10.453125" style="14" bestFit="1" customWidth="1"/>
    <col min="16" max="16384" width="9.1796875" style="14"/>
  </cols>
  <sheetData>
    <row r="1" spans="1:15" ht="15.5" x14ac:dyDescent="0.35">
      <c r="B1" s="11"/>
      <c r="C1" s="11"/>
      <c r="D1" s="11"/>
      <c r="E1" s="11"/>
      <c r="F1" s="19"/>
      <c r="G1" s="11"/>
      <c r="H1" s="12"/>
      <c r="I1" s="11"/>
      <c r="J1" s="321"/>
      <c r="K1" s="321"/>
      <c r="L1" s="11"/>
      <c r="M1" s="19"/>
      <c r="N1" s="12"/>
    </row>
    <row r="2" spans="1:15" ht="15.5" x14ac:dyDescent="0.35">
      <c r="A2" s="31" t="s">
        <v>86</v>
      </c>
      <c r="B2" s="31"/>
      <c r="C2" s="11"/>
      <c r="D2" s="11"/>
      <c r="E2" s="11"/>
      <c r="F2" s="19"/>
      <c r="G2" s="11"/>
      <c r="H2" s="12"/>
      <c r="I2" s="11"/>
      <c r="J2" s="321"/>
      <c r="K2" s="321"/>
      <c r="L2" s="11"/>
      <c r="M2" s="19"/>
      <c r="N2" s="12"/>
    </row>
    <row r="3" spans="1:15" ht="15.5" x14ac:dyDescent="0.35">
      <c r="B3" s="11"/>
      <c r="C3" s="11"/>
      <c r="D3" s="11"/>
      <c r="E3" s="11"/>
      <c r="F3" s="19"/>
      <c r="G3" s="11"/>
      <c r="H3" s="12"/>
      <c r="I3" s="11"/>
      <c r="J3" s="321"/>
      <c r="K3" s="321"/>
      <c r="L3" s="11"/>
      <c r="M3" s="19"/>
      <c r="N3" s="12"/>
    </row>
    <row r="4" spans="1:15" ht="36.75" customHeight="1" x14ac:dyDescent="0.35">
      <c r="B4" s="461" t="s">
        <v>18</v>
      </c>
      <c r="C4" s="461"/>
      <c r="D4" s="461"/>
      <c r="E4" s="461"/>
      <c r="F4" s="462"/>
      <c r="G4" s="463"/>
      <c r="H4" s="463"/>
      <c r="I4" s="463"/>
      <c r="J4" s="463"/>
      <c r="K4" s="463"/>
      <c r="L4" s="463"/>
      <c r="M4" s="463"/>
      <c r="N4" s="464"/>
    </row>
    <row r="5" spans="1:15" ht="23.25" customHeight="1" x14ac:dyDescent="0.35">
      <c r="A5" s="449" t="s">
        <v>280</v>
      </c>
      <c r="B5" s="449"/>
      <c r="C5" s="449"/>
      <c r="D5" s="449"/>
      <c r="E5" s="449"/>
      <c r="F5" s="449"/>
      <c r="G5" s="465" t="s">
        <v>18</v>
      </c>
      <c r="H5" s="466"/>
      <c r="I5" s="466"/>
      <c r="J5" s="466"/>
      <c r="K5" s="466"/>
      <c r="L5" s="466"/>
      <c r="M5" s="466"/>
      <c r="N5" s="467"/>
    </row>
    <row r="6" spans="1:15" ht="43.5" customHeight="1" x14ac:dyDescent="0.35">
      <c r="A6" s="447" t="s">
        <v>612</v>
      </c>
      <c r="B6" s="447" t="s">
        <v>19</v>
      </c>
      <c r="C6" s="447" t="s">
        <v>20</v>
      </c>
      <c r="D6" s="447" t="s">
        <v>627</v>
      </c>
      <c r="E6" s="447" t="s">
        <v>21</v>
      </c>
      <c r="F6" s="568" t="s">
        <v>22</v>
      </c>
      <c r="G6" s="465" t="s">
        <v>279</v>
      </c>
      <c r="H6" s="466"/>
      <c r="I6" s="466"/>
      <c r="J6" s="467"/>
      <c r="K6" s="465" t="s">
        <v>281</v>
      </c>
      <c r="L6" s="466"/>
      <c r="M6" s="467"/>
      <c r="N6" s="447" t="s">
        <v>277</v>
      </c>
    </row>
    <row r="7" spans="1:15" ht="35.25" customHeight="1" x14ac:dyDescent="0.35">
      <c r="A7" s="448"/>
      <c r="B7" s="448"/>
      <c r="C7" s="448"/>
      <c r="D7" s="448"/>
      <c r="E7" s="448"/>
      <c r="F7" s="569"/>
      <c r="G7" s="15" t="s">
        <v>24</v>
      </c>
      <c r="H7" s="254" t="s">
        <v>25</v>
      </c>
      <c r="I7" s="15" t="s">
        <v>26</v>
      </c>
      <c r="J7" s="253" t="s">
        <v>27</v>
      </c>
      <c r="K7" s="253" t="s">
        <v>613</v>
      </c>
      <c r="L7" s="15" t="s">
        <v>614</v>
      </c>
      <c r="M7" s="47" t="s">
        <v>615</v>
      </c>
      <c r="N7" s="448"/>
      <c r="O7" s="33"/>
    </row>
    <row r="8" spans="1:15" ht="39" customHeight="1" x14ac:dyDescent="0.35">
      <c r="A8" s="450" t="s">
        <v>28</v>
      </c>
      <c r="B8" s="451"/>
      <c r="C8" s="17" t="s">
        <v>29</v>
      </c>
      <c r="D8" s="17"/>
      <c r="E8" s="32">
        <f>SUM(E9:E41)</f>
        <v>231</v>
      </c>
      <c r="F8" s="252">
        <f>SUM(F9:F41)</f>
        <v>359229.50000000006</v>
      </c>
      <c r="G8" s="17" t="s">
        <v>29</v>
      </c>
      <c r="H8" s="48" t="s">
        <v>29</v>
      </c>
      <c r="I8" s="17" t="s">
        <v>29</v>
      </c>
      <c r="J8" s="49">
        <f>SUM(J9:J41)</f>
        <v>335993.52759999997</v>
      </c>
      <c r="K8" s="49"/>
      <c r="L8" s="49">
        <f>SUM(L9:L41)</f>
        <v>335993.52759999997</v>
      </c>
      <c r="M8" s="49"/>
      <c r="N8" s="17" t="s">
        <v>29</v>
      </c>
    </row>
    <row r="9" spans="1:15" ht="37.5" customHeight="1" x14ac:dyDescent="0.35">
      <c r="A9" s="364" t="s">
        <v>632</v>
      </c>
      <c r="B9" s="249" t="s">
        <v>30</v>
      </c>
      <c r="C9" s="255" t="s">
        <v>87</v>
      </c>
      <c r="D9" s="255" t="s">
        <v>639</v>
      </c>
      <c r="E9" s="215">
        <v>2</v>
      </c>
      <c r="F9" s="256">
        <v>6000</v>
      </c>
      <c r="G9" s="137" t="s">
        <v>125</v>
      </c>
      <c r="H9" s="257" t="s">
        <v>126</v>
      </c>
      <c r="I9" s="137" t="s">
        <v>127</v>
      </c>
      <c r="J9" s="258">
        <v>10285</v>
      </c>
      <c r="K9" s="258">
        <v>273</v>
      </c>
      <c r="L9" s="256">
        <v>10285</v>
      </c>
      <c r="M9" s="256"/>
      <c r="N9" s="212" t="s">
        <v>314</v>
      </c>
    </row>
    <row r="10" spans="1:15" ht="31" x14ac:dyDescent="0.35">
      <c r="A10" s="364" t="s">
        <v>653</v>
      </c>
      <c r="B10" s="251" t="s">
        <v>88</v>
      </c>
      <c r="C10" s="255" t="s">
        <v>88</v>
      </c>
      <c r="D10" s="255" t="s">
        <v>639</v>
      </c>
      <c r="E10" s="215">
        <v>16</v>
      </c>
      <c r="F10" s="256">
        <v>1120</v>
      </c>
      <c r="G10" s="137" t="s">
        <v>128</v>
      </c>
      <c r="H10" s="257" t="s">
        <v>129</v>
      </c>
      <c r="I10" s="137" t="s">
        <v>130</v>
      </c>
      <c r="J10" s="258">
        <v>1122.8800000000001</v>
      </c>
      <c r="K10" s="258">
        <v>270</v>
      </c>
      <c r="L10" s="256">
        <v>1122.8800000000001</v>
      </c>
      <c r="M10" s="256"/>
      <c r="N10" s="212" t="s">
        <v>314</v>
      </c>
    </row>
    <row r="11" spans="1:15" ht="31" x14ac:dyDescent="0.35">
      <c r="A11" s="601" t="s">
        <v>89</v>
      </c>
      <c r="B11" s="611" t="s">
        <v>89</v>
      </c>
      <c r="C11" s="255" t="s">
        <v>90</v>
      </c>
      <c r="D11" s="255" t="s">
        <v>639</v>
      </c>
      <c r="E11" s="215">
        <v>10</v>
      </c>
      <c r="F11" s="256">
        <v>600</v>
      </c>
      <c r="G11" s="137" t="s">
        <v>203</v>
      </c>
      <c r="H11" s="257" t="s">
        <v>204</v>
      </c>
      <c r="I11" s="137" t="s">
        <v>130</v>
      </c>
      <c r="J11" s="258">
        <v>544.5</v>
      </c>
      <c r="K11" s="258">
        <v>342</v>
      </c>
      <c r="L11" s="256">
        <v>544.5</v>
      </c>
      <c r="M11" s="256"/>
      <c r="N11" s="212" t="s">
        <v>314</v>
      </c>
    </row>
    <row r="12" spans="1:15" ht="31" x14ac:dyDescent="0.35">
      <c r="A12" s="602"/>
      <c r="B12" s="612"/>
      <c r="C12" s="255" t="s">
        <v>90</v>
      </c>
      <c r="D12" s="255" t="s">
        <v>639</v>
      </c>
      <c r="E12" s="215">
        <v>2</v>
      </c>
      <c r="F12" s="256">
        <v>4598</v>
      </c>
      <c r="G12" s="137" t="s">
        <v>289</v>
      </c>
      <c r="H12" s="259">
        <v>44263</v>
      </c>
      <c r="I12" s="137" t="s">
        <v>54</v>
      </c>
      <c r="J12" s="258">
        <v>1946.36</v>
      </c>
      <c r="K12" s="258">
        <v>770</v>
      </c>
      <c r="L12" s="256">
        <v>1946.36</v>
      </c>
      <c r="M12" s="256"/>
      <c r="N12" s="212" t="s">
        <v>314</v>
      </c>
    </row>
    <row r="13" spans="1:15" ht="31" x14ac:dyDescent="0.35">
      <c r="A13" s="379" t="s">
        <v>91</v>
      </c>
      <c r="B13" s="250" t="s">
        <v>91</v>
      </c>
      <c r="C13" s="255" t="s">
        <v>91</v>
      </c>
      <c r="D13" s="255" t="s">
        <v>639</v>
      </c>
      <c r="E13" s="215">
        <v>2</v>
      </c>
      <c r="F13" s="256">
        <v>6400</v>
      </c>
      <c r="G13" s="137" t="s">
        <v>205</v>
      </c>
      <c r="H13" s="257" t="s">
        <v>206</v>
      </c>
      <c r="I13" s="137" t="s">
        <v>130</v>
      </c>
      <c r="J13" s="258">
        <v>9196</v>
      </c>
      <c r="K13" s="258">
        <v>343</v>
      </c>
      <c r="L13" s="256">
        <v>9196</v>
      </c>
      <c r="M13" s="256"/>
      <c r="N13" s="212" t="s">
        <v>314</v>
      </c>
    </row>
    <row r="14" spans="1:15" ht="142.5" customHeight="1" x14ac:dyDescent="0.35">
      <c r="B14" s="46" t="s">
        <v>92</v>
      </c>
      <c r="C14" s="248" t="s">
        <v>93</v>
      </c>
      <c r="D14" s="248" t="s">
        <v>639</v>
      </c>
      <c r="E14" s="245">
        <v>1</v>
      </c>
      <c r="F14" s="244">
        <v>25748</v>
      </c>
      <c r="G14" s="246"/>
      <c r="H14" s="269"/>
      <c r="I14" s="246"/>
      <c r="J14" s="270"/>
      <c r="K14" s="270"/>
      <c r="L14" s="246"/>
      <c r="M14" s="247"/>
      <c r="N14" s="246"/>
    </row>
    <row r="15" spans="1:15" ht="55.5" customHeight="1" x14ac:dyDescent="0.35">
      <c r="A15" s="364" t="s">
        <v>654</v>
      </c>
      <c r="B15" s="576" t="s">
        <v>47</v>
      </c>
      <c r="C15" s="255" t="s">
        <v>94</v>
      </c>
      <c r="D15" s="255" t="s">
        <v>639</v>
      </c>
      <c r="E15" s="215">
        <v>1</v>
      </c>
      <c r="F15" s="260">
        <v>32899.9</v>
      </c>
      <c r="G15" s="579" t="s">
        <v>290</v>
      </c>
      <c r="H15" s="582">
        <v>44272</v>
      </c>
      <c r="I15" s="543" t="s">
        <v>130</v>
      </c>
      <c r="J15" s="219">
        <v>32899.01</v>
      </c>
      <c r="K15" s="573">
        <v>769</v>
      </c>
      <c r="L15" s="573">
        <v>107098.99</v>
      </c>
      <c r="M15" s="573"/>
      <c r="N15" s="212" t="s">
        <v>314</v>
      </c>
    </row>
    <row r="16" spans="1:15" ht="31" x14ac:dyDescent="0.35">
      <c r="A16" s="364" t="s">
        <v>654</v>
      </c>
      <c r="B16" s="577"/>
      <c r="C16" s="255" t="s">
        <v>95</v>
      </c>
      <c r="D16" s="255" t="s">
        <v>639</v>
      </c>
      <c r="E16" s="215">
        <v>4</v>
      </c>
      <c r="F16" s="260">
        <v>24200</v>
      </c>
      <c r="G16" s="580"/>
      <c r="H16" s="583"/>
      <c r="I16" s="585"/>
      <c r="J16" s="258">
        <v>24200</v>
      </c>
      <c r="K16" s="574"/>
      <c r="L16" s="574"/>
      <c r="M16" s="574"/>
      <c r="N16" s="212" t="s">
        <v>314</v>
      </c>
    </row>
    <row r="17" spans="1:14" ht="31" x14ac:dyDescent="0.35">
      <c r="A17" s="364" t="s">
        <v>654</v>
      </c>
      <c r="B17" s="578"/>
      <c r="C17" s="255" t="s">
        <v>96</v>
      </c>
      <c r="D17" s="255" t="s">
        <v>639</v>
      </c>
      <c r="E17" s="215">
        <v>10</v>
      </c>
      <c r="F17" s="260">
        <v>50000</v>
      </c>
      <c r="G17" s="581"/>
      <c r="H17" s="584"/>
      <c r="I17" s="544"/>
      <c r="J17" s="258">
        <v>49999.98</v>
      </c>
      <c r="K17" s="575"/>
      <c r="L17" s="575"/>
      <c r="M17" s="575"/>
      <c r="N17" s="212" t="s">
        <v>314</v>
      </c>
    </row>
    <row r="18" spans="1:14" ht="60" customHeight="1" x14ac:dyDescent="0.35">
      <c r="A18" s="380" t="s">
        <v>79</v>
      </c>
      <c r="B18" s="570" t="s">
        <v>79</v>
      </c>
      <c r="C18" s="255" t="s">
        <v>79</v>
      </c>
      <c r="D18" s="255" t="s">
        <v>639</v>
      </c>
      <c r="E18" s="215">
        <v>10</v>
      </c>
      <c r="F18" s="260">
        <v>1700</v>
      </c>
      <c r="G18" s="261" t="s">
        <v>131</v>
      </c>
      <c r="H18" s="217" t="s">
        <v>132</v>
      </c>
      <c r="I18" s="543" t="s">
        <v>130</v>
      </c>
      <c r="J18" s="219">
        <v>1080.53</v>
      </c>
      <c r="K18" s="219">
        <v>271</v>
      </c>
      <c r="L18" s="378">
        <v>1080.53</v>
      </c>
      <c r="M18" s="260"/>
      <c r="N18" s="212" t="s">
        <v>314</v>
      </c>
    </row>
    <row r="19" spans="1:14" ht="31" x14ac:dyDescent="0.35">
      <c r="A19" s="380" t="s">
        <v>79</v>
      </c>
      <c r="B19" s="571"/>
      <c r="C19" s="255" t="s">
        <v>79</v>
      </c>
      <c r="D19" s="255" t="s">
        <v>639</v>
      </c>
      <c r="E19" s="215">
        <v>47</v>
      </c>
      <c r="F19" s="260">
        <v>13630</v>
      </c>
      <c r="G19" s="261" t="s">
        <v>133</v>
      </c>
      <c r="H19" s="257" t="s">
        <v>134</v>
      </c>
      <c r="I19" s="544"/>
      <c r="J19" s="258">
        <v>13630.03</v>
      </c>
      <c r="K19" s="258">
        <v>269</v>
      </c>
      <c r="L19" s="167">
        <v>13630.03</v>
      </c>
      <c r="M19" s="256"/>
      <c r="N19" s="212" t="s">
        <v>314</v>
      </c>
    </row>
    <row r="20" spans="1:14" ht="31" x14ac:dyDescent="0.35">
      <c r="A20" s="380" t="s">
        <v>79</v>
      </c>
      <c r="B20" s="572"/>
      <c r="C20" s="255" t="s">
        <v>97</v>
      </c>
      <c r="D20" s="255" t="s">
        <v>639</v>
      </c>
      <c r="E20" s="215">
        <v>5</v>
      </c>
      <c r="F20" s="260">
        <v>6675</v>
      </c>
      <c r="G20" s="261" t="s">
        <v>207</v>
      </c>
      <c r="H20" s="257" t="s">
        <v>206</v>
      </c>
      <c r="I20" s="137" t="s">
        <v>135</v>
      </c>
      <c r="J20" s="258">
        <v>7260</v>
      </c>
      <c r="K20" s="258">
        <v>386</v>
      </c>
      <c r="L20" s="167">
        <v>7260</v>
      </c>
      <c r="M20" s="256"/>
      <c r="N20" s="212" t="s">
        <v>314</v>
      </c>
    </row>
    <row r="21" spans="1:14" ht="31" x14ac:dyDescent="0.35">
      <c r="A21" s="380" t="s">
        <v>81</v>
      </c>
      <c r="B21" s="570" t="s">
        <v>81</v>
      </c>
      <c r="C21" s="255" t="s">
        <v>81</v>
      </c>
      <c r="D21" s="255" t="s">
        <v>639</v>
      </c>
      <c r="E21" s="215">
        <v>10</v>
      </c>
      <c r="F21" s="260">
        <v>800</v>
      </c>
      <c r="G21" s="261" t="s">
        <v>562</v>
      </c>
      <c r="H21" s="259">
        <v>44270</v>
      </c>
      <c r="I21" s="137" t="s">
        <v>136</v>
      </c>
      <c r="J21" s="258">
        <f>5019.08/61*10</f>
        <v>822.8</v>
      </c>
      <c r="K21" s="258">
        <v>771</v>
      </c>
      <c r="L21" s="167">
        <v>822.8</v>
      </c>
      <c r="M21" s="256"/>
      <c r="N21" s="212" t="s">
        <v>314</v>
      </c>
    </row>
    <row r="22" spans="1:14" ht="46.5" x14ac:dyDescent="0.35">
      <c r="A22" s="380" t="s">
        <v>98</v>
      </c>
      <c r="B22" s="571"/>
      <c r="C22" s="255" t="s">
        <v>98</v>
      </c>
      <c r="D22" s="255" t="s">
        <v>639</v>
      </c>
      <c r="E22" s="215">
        <v>2</v>
      </c>
      <c r="F22" s="260">
        <v>13068</v>
      </c>
      <c r="G22" s="261" t="s">
        <v>207</v>
      </c>
      <c r="H22" s="257" t="s">
        <v>206</v>
      </c>
      <c r="I22" s="137" t="s">
        <v>137</v>
      </c>
      <c r="J22" s="258">
        <v>13068</v>
      </c>
      <c r="K22" s="258">
        <v>386</v>
      </c>
      <c r="L22" s="167">
        <v>13068</v>
      </c>
      <c r="M22" s="256"/>
      <c r="N22" s="212" t="s">
        <v>314</v>
      </c>
    </row>
    <row r="23" spans="1:14" ht="31" x14ac:dyDescent="0.35">
      <c r="A23" s="380" t="s">
        <v>99</v>
      </c>
      <c r="B23" s="572"/>
      <c r="C23" s="255" t="s">
        <v>99</v>
      </c>
      <c r="D23" s="255" t="s">
        <v>639</v>
      </c>
      <c r="E23" s="215">
        <v>51</v>
      </c>
      <c r="F23" s="260">
        <v>7140</v>
      </c>
      <c r="G23" s="261" t="s">
        <v>562</v>
      </c>
      <c r="H23" s="259">
        <v>44270</v>
      </c>
      <c r="I23" s="137" t="s">
        <v>136</v>
      </c>
      <c r="J23" s="258">
        <f>5019.08/61*51</f>
        <v>4196.28</v>
      </c>
      <c r="K23" s="258">
        <v>771</v>
      </c>
      <c r="L23" s="167">
        <v>4196.28</v>
      </c>
      <c r="M23" s="256"/>
      <c r="N23" s="212" t="s">
        <v>314</v>
      </c>
    </row>
    <row r="24" spans="1:14" ht="31" x14ac:dyDescent="0.35">
      <c r="A24" s="380" t="s">
        <v>49</v>
      </c>
      <c r="B24" s="570" t="s">
        <v>51</v>
      </c>
      <c r="C24" s="255" t="s">
        <v>49</v>
      </c>
      <c r="D24" s="255" t="s">
        <v>639</v>
      </c>
      <c r="E24" s="215">
        <v>4</v>
      </c>
      <c r="F24" s="260">
        <v>4356</v>
      </c>
      <c r="G24" s="605" t="s">
        <v>138</v>
      </c>
      <c r="H24" s="609" t="s">
        <v>139</v>
      </c>
      <c r="I24" s="137" t="s">
        <v>140</v>
      </c>
      <c r="J24" s="258">
        <v>3872</v>
      </c>
      <c r="K24" s="573">
        <v>272</v>
      </c>
      <c r="L24" s="258">
        <v>7453.6</v>
      </c>
      <c r="M24" s="549"/>
      <c r="N24" s="212" t="s">
        <v>314</v>
      </c>
    </row>
    <row r="25" spans="1:14" ht="31" x14ac:dyDescent="0.35">
      <c r="A25" s="380" t="s">
        <v>100</v>
      </c>
      <c r="B25" s="571"/>
      <c r="C25" s="255" t="s">
        <v>100</v>
      </c>
      <c r="D25" s="255" t="s">
        <v>639</v>
      </c>
      <c r="E25" s="215">
        <v>4</v>
      </c>
      <c r="F25" s="260">
        <v>6292</v>
      </c>
      <c r="G25" s="606"/>
      <c r="H25" s="610"/>
      <c r="I25" s="137" t="s">
        <v>140</v>
      </c>
      <c r="J25" s="258">
        <v>3581.6</v>
      </c>
      <c r="K25" s="575"/>
      <c r="L25" s="258"/>
      <c r="M25" s="550"/>
      <c r="N25" s="212" t="s">
        <v>314</v>
      </c>
    </row>
    <row r="26" spans="1:14" ht="31" x14ac:dyDescent="0.35">
      <c r="A26" s="364" t="s">
        <v>655</v>
      </c>
      <c r="B26" s="572"/>
      <c r="C26" s="255" t="s">
        <v>101</v>
      </c>
      <c r="D26" s="255" t="s">
        <v>639</v>
      </c>
      <c r="E26" s="215">
        <v>4</v>
      </c>
      <c r="F26" s="260">
        <v>6292</v>
      </c>
      <c r="G26" s="261" t="s">
        <v>203</v>
      </c>
      <c r="H26" s="257" t="s">
        <v>204</v>
      </c>
      <c r="I26" s="137" t="s">
        <v>130</v>
      </c>
      <c r="J26" s="258">
        <v>5324</v>
      </c>
      <c r="K26" s="258">
        <v>342</v>
      </c>
      <c r="L26" s="258">
        <v>5324</v>
      </c>
      <c r="M26" s="256"/>
      <c r="N26" s="212" t="s">
        <v>314</v>
      </c>
    </row>
    <row r="27" spans="1:14" ht="31" x14ac:dyDescent="0.35">
      <c r="A27" s="379" t="s">
        <v>102</v>
      </c>
      <c r="B27" s="46" t="s">
        <v>102</v>
      </c>
      <c r="C27" s="262" t="s">
        <v>102</v>
      </c>
      <c r="D27" s="262" t="s">
        <v>639</v>
      </c>
      <c r="E27" s="215">
        <v>3</v>
      </c>
      <c r="F27" s="260">
        <v>1815</v>
      </c>
      <c r="G27" s="261" t="s">
        <v>208</v>
      </c>
      <c r="H27" s="257" t="s">
        <v>209</v>
      </c>
      <c r="I27" s="137" t="s">
        <v>141</v>
      </c>
      <c r="J27" s="258">
        <v>1680</v>
      </c>
      <c r="K27" s="258">
        <v>486</v>
      </c>
      <c r="L27" s="258">
        <v>1680</v>
      </c>
      <c r="M27" s="263"/>
      <c r="N27" s="212" t="s">
        <v>314</v>
      </c>
    </row>
    <row r="28" spans="1:14" ht="31.5" customHeight="1" x14ac:dyDescent="0.35">
      <c r="A28" s="379" t="s">
        <v>103</v>
      </c>
      <c r="B28" s="46" t="s">
        <v>103</v>
      </c>
      <c r="C28" s="255" t="s">
        <v>103</v>
      </c>
      <c r="D28" s="255" t="s">
        <v>639</v>
      </c>
      <c r="E28" s="215">
        <v>1</v>
      </c>
      <c r="F28" s="260">
        <v>40000</v>
      </c>
      <c r="G28" s="261" t="s">
        <v>292</v>
      </c>
      <c r="H28" s="259">
        <v>44285</v>
      </c>
      <c r="I28" s="137" t="s">
        <v>130</v>
      </c>
      <c r="J28" s="258">
        <f>38000*1.21</f>
        <v>45980</v>
      </c>
      <c r="K28" s="258">
        <v>930</v>
      </c>
      <c r="L28" s="258">
        <v>45980</v>
      </c>
      <c r="M28" s="264"/>
      <c r="N28" s="212" t="s">
        <v>314</v>
      </c>
    </row>
    <row r="29" spans="1:14" ht="31" x14ac:dyDescent="0.35">
      <c r="A29" s="379" t="s">
        <v>104</v>
      </c>
      <c r="B29" s="46" t="s">
        <v>104</v>
      </c>
      <c r="C29" s="262" t="s">
        <v>104</v>
      </c>
      <c r="D29" s="262" t="s">
        <v>639</v>
      </c>
      <c r="E29" s="215">
        <v>3</v>
      </c>
      <c r="F29" s="260">
        <v>2178</v>
      </c>
      <c r="G29" s="261" t="s">
        <v>571</v>
      </c>
      <c r="H29" s="259">
        <v>44284</v>
      </c>
      <c r="I29" s="137" t="s">
        <v>130</v>
      </c>
      <c r="J29" s="258">
        <f>1800*1.21</f>
        <v>2178</v>
      </c>
      <c r="K29" s="258">
        <v>932</v>
      </c>
      <c r="L29" s="258">
        <v>2178</v>
      </c>
      <c r="M29" s="264"/>
      <c r="N29" s="212" t="s">
        <v>314</v>
      </c>
    </row>
    <row r="30" spans="1:14" ht="35.25" customHeight="1" x14ac:dyDescent="0.35">
      <c r="A30" s="379" t="s">
        <v>84</v>
      </c>
      <c r="B30" s="46" t="s">
        <v>84</v>
      </c>
      <c r="C30" s="255" t="s">
        <v>85</v>
      </c>
      <c r="D30" s="255" t="s">
        <v>639</v>
      </c>
      <c r="E30" s="215">
        <v>2</v>
      </c>
      <c r="F30" s="260">
        <v>34364</v>
      </c>
      <c r="G30" s="261" t="s">
        <v>210</v>
      </c>
      <c r="H30" s="257" t="s">
        <v>209</v>
      </c>
      <c r="I30" s="137" t="s">
        <v>142</v>
      </c>
      <c r="J30" s="258">
        <v>34364</v>
      </c>
      <c r="K30" s="258">
        <v>452</v>
      </c>
      <c r="L30" s="258">
        <v>34364</v>
      </c>
      <c r="M30" s="264"/>
      <c r="N30" s="212" t="s">
        <v>314</v>
      </c>
    </row>
    <row r="31" spans="1:14" ht="31" x14ac:dyDescent="0.35">
      <c r="A31" s="331" t="s">
        <v>656</v>
      </c>
      <c r="B31" s="570" t="s">
        <v>105</v>
      </c>
      <c r="C31" s="255" t="s">
        <v>106</v>
      </c>
      <c r="D31" s="255" t="s">
        <v>639</v>
      </c>
      <c r="E31" s="215">
        <v>4</v>
      </c>
      <c r="F31" s="260">
        <v>2565.1999999999998</v>
      </c>
      <c r="G31" s="261" t="s">
        <v>211</v>
      </c>
      <c r="H31" s="257" t="s">
        <v>209</v>
      </c>
      <c r="I31" s="137" t="s">
        <v>142</v>
      </c>
      <c r="J31" s="258">
        <v>2589.4</v>
      </c>
      <c r="K31" s="258">
        <v>453</v>
      </c>
      <c r="L31" s="258">
        <v>2589.4</v>
      </c>
      <c r="M31" s="264"/>
      <c r="N31" s="212" t="s">
        <v>314</v>
      </c>
    </row>
    <row r="32" spans="1:14" ht="31" x14ac:dyDescent="0.35">
      <c r="A32" s="331" t="s">
        <v>620</v>
      </c>
      <c r="B32" s="571"/>
      <c r="C32" s="255" t="s">
        <v>107</v>
      </c>
      <c r="D32" s="255" t="s">
        <v>639</v>
      </c>
      <c r="E32" s="215">
        <v>4</v>
      </c>
      <c r="F32" s="260">
        <v>8518.4</v>
      </c>
      <c r="G32" s="135" t="s">
        <v>570</v>
      </c>
      <c r="H32" s="265">
        <v>44274</v>
      </c>
      <c r="I32" s="137" t="s">
        <v>136</v>
      </c>
      <c r="J32" s="258">
        <v>8508.7199999999993</v>
      </c>
      <c r="K32" s="258">
        <v>929</v>
      </c>
      <c r="L32" s="258">
        <v>8508.7199999999993</v>
      </c>
      <c r="M32" s="266"/>
      <c r="N32" s="212" t="s">
        <v>314</v>
      </c>
    </row>
    <row r="33" spans="1:14" ht="31" x14ac:dyDescent="0.35">
      <c r="A33" s="331" t="s">
        <v>620</v>
      </c>
      <c r="B33" s="572"/>
      <c r="C33" s="255" t="s">
        <v>108</v>
      </c>
      <c r="D33" s="255" t="s">
        <v>639</v>
      </c>
      <c r="E33" s="215">
        <v>2</v>
      </c>
      <c r="F33" s="260">
        <v>31800</v>
      </c>
      <c r="G33" s="267" t="s">
        <v>212</v>
      </c>
      <c r="H33" s="259">
        <v>44258</v>
      </c>
      <c r="I33" s="137" t="s">
        <v>143</v>
      </c>
      <c r="J33" s="258">
        <v>31798.799999999999</v>
      </c>
      <c r="K33" s="258">
        <v>471</v>
      </c>
      <c r="L33" s="258">
        <v>31798.799999999999</v>
      </c>
      <c r="M33" s="264"/>
      <c r="N33" s="212" t="s">
        <v>314</v>
      </c>
    </row>
    <row r="34" spans="1:14" ht="31.5" customHeight="1" x14ac:dyDescent="0.35">
      <c r="A34" s="604" t="s">
        <v>645</v>
      </c>
      <c r="B34" s="570" t="s">
        <v>109</v>
      </c>
      <c r="C34" s="599" t="s">
        <v>110</v>
      </c>
      <c r="D34" s="313" t="s">
        <v>639</v>
      </c>
      <c r="E34" s="547">
        <v>4</v>
      </c>
      <c r="F34" s="549">
        <v>4840</v>
      </c>
      <c r="G34" s="605" t="s">
        <v>569</v>
      </c>
      <c r="H34" s="259">
        <v>44258</v>
      </c>
      <c r="I34" s="137" t="s">
        <v>144</v>
      </c>
      <c r="J34" s="258">
        <v>3998.68</v>
      </c>
      <c r="K34" s="258">
        <v>680</v>
      </c>
      <c r="L34" s="258">
        <v>3998.68</v>
      </c>
      <c r="M34" s="264"/>
      <c r="N34" s="212" t="s">
        <v>314</v>
      </c>
    </row>
    <row r="35" spans="1:14" ht="31" x14ac:dyDescent="0.35">
      <c r="A35" s="604"/>
      <c r="B35" s="571"/>
      <c r="C35" s="600"/>
      <c r="D35" s="314" t="s">
        <v>639</v>
      </c>
      <c r="E35" s="548"/>
      <c r="F35" s="550"/>
      <c r="G35" s="606"/>
      <c r="H35" s="259">
        <v>44292</v>
      </c>
      <c r="I35" s="137" t="s">
        <v>563</v>
      </c>
      <c r="J35" s="258">
        <f>J34*0.21</f>
        <v>839.72279999999989</v>
      </c>
      <c r="K35" s="377">
        <v>955</v>
      </c>
      <c r="L35" s="258">
        <v>839.72279999999989</v>
      </c>
      <c r="M35" s="268"/>
      <c r="N35" s="212" t="s">
        <v>314</v>
      </c>
    </row>
    <row r="36" spans="1:14" ht="52.5" customHeight="1" x14ac:dyDescent="0.35">
      <c r="A36" s="331" t="s">
        <v>645</v>
      </c>
      <c r="B36" s="571"/>
      <c r="C36" s="255" t="s">
        <v>110</v>
      </c>
      <c r="D36" s="255" t="s">
        <v>639</v>
      </c>
      <c r="E36" s="215">
        <v>10</v>
      </c>
      <c r="F36" s="260">
        <v>2000</v>
      </c>
      <c r="G36" s="607" t="s">
        <v>213</v>
      </c>
      <c r="H36" s="582">
        <v>44242</v>
      </c>
      <c r="I36" s="137" t="s">
        <v>136</v>
      </c>
      <c r="J36" s="258">
        <f>3993/2</f>
        <v>1996.5</v>
      </c>
      <c r="K36" s="573">
        <v>344</v>
      </c>
      <c r="L36" s="258">
        <v>3993</v>
      </c>
      <c r="M36" s="592"/>
      <c r="N36" s="212" t="s">
        <v>314</v>
      </c>
    </row>
    <row r="37" spans="1:14" ht="36.75" customHeight="1" x14ac:dyDescent="0.35">
      <c r="A37" s="331" t="s">
        <v>657</v>
      </c>
      <c r="B37" s="572"/>
      <c r="C37" s="255" t="s">
        <v>111</v>
      </c>
      <c r="D37" s="255" t="s">
        <v>639</v>
      </c>
      <c r="E37" s="215">
        <v>10</v>
      </c>
      <c r="F37" s="260">
        <v>2000</v>
      </c>
      <c r="G37" s="608"/>
      <c r="H37" s="548"/>
      <c r="I37" s="137" t="s">
        <v>136</v>
      </c>
      <c r="J37" s="258">
        <f>3993/2</f>
        <v>1996.5</v>
      </c>
      <c r="K37" s="575"/>
      <c r="L37" s="258"/>
      <c r="M37" s="593"/>
      <c r="N37" s="212" t="s">
        <v>314</v>
      </c>
    </row>
    <row r="38" spans="1:14" ht="31" x14ac:dyDescent="0.35">
      <c r="A38" s="331" t="s">
        <v>660</v>
      </c>
      <c r="B38" s="576" t="s">
        <v>112</v>
      </c>
      <c r="C38" s="213" t="s">
        <v>568</v>
      </c>
      <c r="D38" s="310" t="s">
        <v>639</v>
      </c>
      <c r="E38" s="547">
        <v>1</v>
      </c>
      <c r="F38" s="573">
        <v>14000</v>
      </c>
      <c r="G38" s="267" t="s">
        <v>296</v>
      </c>
      <c r="H38" s="257" t="s">
        <v>567</v>
      </c>
      <c r="I38" s="137" t="s">
        <v>145</v>
      </c>
      <c r="J38" s="258">
        <v>12196.8</v>
      </c>
      <c r="K38" s="258">
        <v>931</v>
      </c>
      <c r="L38" s="258">
        <v>12196.8</v>
      </c>
      <c r="M38" s="256"/>
      <c r="N38" s="212" t="s">
        <v>314</v>
      </c>
    </row>
    <row r="39" spans="1:14" ht="31" x14ac:dyDescent="0.35">
      <c r="A39" s="603" t="s">
        <v>659</v>
      </c>
      <c r="B39" s="577"/>
      <c r="C39" s="595" t="s">
        <v>566</v>
      </c>
      <c r="D39" s="376" t="s">
        <v>639</v>
      </c>
      <c r="E39" s="594"/>
      <c r="F39" s="574"/>
      <c r="G39" s="597" t="s">
        <v>565</v>
      </c>
      <c r="H39" s="259">
        <v>44285</v>
      </c>
      <c r="I39" s="137" t="s">
        <v>564</v>
      </c>
      <c r="J39" s="258">
        <v>999.88</v>
      </c>
      <c r="K39" s="258">
        <v>943</v>
      </c>
      <c r="L39" s="258">
        <v>999.88</v>
      </c>
      <c r="M39" s="256"/>
      <c r="N39" s="212" t="s">
        <v>314</v>
      </c>
    </row>
    <row r="40" spans="1:14" ht="31" x14ac:dyDescent="0.35">
      <c r="A40" s="603"/>
      <c r="B40" s="578"/>
      <c r="C40" s="596"/>
      <c r="D40" s="312" t="s">
        <v>639</v>
      </c>
      <c r="E40" s="548"/>
      <c r="F40" s="575"/>
      <c r="G40" s="598"/>
      <c r="H40" s="381">
        <v>44292</v>
      </c>
      <c r="I40" s="76" t="s">
        <v>563</v>
      </c>
      <c r="J40" s="382">
        <f>J39*0.21</f>
        <v>209.97479999999999</v>
      </c>
      <c r="K40" s="382">
        <v>955</v>
      </c>
      <c r="L40" s="382">
        <v>209.97479999999999</v>
      </c>
      <c r="M40" s="383"/>
      <c r="N40" s="379"/>
    </row>
    <row r="41" spans="1:14" ht="31" x14ac:dyDescent="0.35">
      <c r="A41" s="331" t="s">
        <v>658</v>
      </c>
      <c r="B41" s="46" t="s">
        <v>113</v>
      </c>
      <c r="C41" s="215"/>
      <c r="D41" s="215" t="s">
        <v>639</v>
      </c>
      <c r="E41" s="215">
        <v>2</v>
      </c>
      <c r="F41" s="260">
        <v>3630</v>
      </c>
      <c r="G41" s="267" t="s">
        <v>294</v>
      </c>
      <c r="H41" s="259">
        <v>44270</v>
      </c>
      <c r="I41" s="137" t="s">
        <v>136</v>
      </c>
      <c r="J41" s="258">
        <v>3627.58</v>
      </c>
      <c r="K41" s="258">
        <v>771</v>
      </c>
      <c r="L41" s="258">
        <v>3627.58</v>
      </c>
      <c r="M41" s="256"/>
      <c r="N41" s="212" t="s">
        <v>314</v>
      </c>
    </row>
    <row r="42" spans="1:14" ht="42.75" customHeight="1" x14ac:dyDescent="0.35">
      <c r="B42" s="586" t="s">
        <v>572</v>
      </c>
      <c r="C42" s="587"/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8"/>
    </row>
    <row r="43" spans="1:14" ht="27" customHeight="1" x14ac:dyDescent="0.35">
      <c r="B43" s="589"/>
      <c r="C43" s="590"/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1"/>
    </row>
  </sheetData>
  <mergeCells count="48">
    <mergeCell ref="A8:B8"/>
    <mergeCell ref="K24:K25"/>
    <mergeCell ref="K36:K37"/>
    <mergeCell ref="A11:A12"/>
    <mergeCell ref="A39:A40"/>
    <mergeCell ref="A34:A35"/>
    <mergeCell ref="F34:F35"/>
    <mergeCell ref="G34:G35"/>
    <mergeCell ref="G36:G37"/>
    <mergeCell ref="H36:H37"/>
    <mergeCell ref="B24:B26"/>
    <mergeCell ref="G24:G25"/>
    <mergeCell ref="H24:H25"/>
    <mergeCell ref="B11:B12"/>
    <mergeCell ref="A6:A7"/>
    <mergeCell ref="A5:F5"/>
    <mergeCell ref="D6:D7"/>
    <mergeCell ref="K6:M6"/>
    <mergeCell ref="B42:N43"/>
    <mergeCell ref="M36:M37"/>
    <mergeCell ref="B38:B40"/>
    <mergeCell ref="E38:E40"/>
    <mergeCell ref="F38:F40"/>
    <mergeCell ref="C39:C40"/>
    <mergeCell ref="G39:G40"/>
    <mergeCell ref="M15:M17"/>
    <mergeCell ref="B31:B33"/>
    <mergeCell ref="B34:B37"/>
    <mergeCell ref="C34:C35"/>
    <mergeCell ref="E34:E35"/>
    <mergeCell ref="M24:M25"/>
    <mergeCell ref="B18:B20"/>
    <mergeCell ref="I18:I19"/>
    <mergeCell ref="B21:B23"/>
    <mergeCell ref="L15:L17"/>
    <mergeCell ref="B15:B17"/>
    <mergeCell ref="G15:G17"/>
    <mergeCell ref="H15:H17"/>
    <mergeCell ref="I15:I17"/>
    <mergeCell ref="K15:K17"/>
    <mergeCell ref="B4:N4"/>
    <mergeCell ref="G5:N5"/>
    <mergeCell ref="B6:B7"/>
    <mergeCell ref="C6:C7"/>
    <mergeCell ref="E6:E7"/>
    <mergeCell ref="F6:F7"/>
    <mergeCell ref="G6:J6"/>
    <mergeCell ref="N6:N7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LNG_kopā</vt:lpstr>
      <vt:lpstr>D-Pils_2</vt:lpstr>
      <vt:lpstr>Balvi_2</vt:lpstr>
      <vt:lpstr>Jēkabp_2</vt:lpstr>
      <vt:lpstr>Jelgava_2</vt:lpstr>
      <vt:lpstr>Liepāja_2</vt:lpstr>
      <vt:lpstr>Rēz_2</vt:lpstr>
      <vt:lpstr>Vidz_2</vt:lpstr>
      <vt:lpstr>Z-Kurz_2</vt:lpstr>
      <vt:lpstr>Plansetes_2</vt:lpstr>
      <vt:lpstr>Balvi_2!Print_Area</vt:lpstr>
      <vt:lpstr>Jēkabp_2!Print_Area</vt:lpstr>
      <vt:lpstr>Liepāja_2!Print_Area</vt:lpstr>
      <vt:lpstr>LNG_kopā!Print_Area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Dreimane</dc:creator>
  <cp:lastModifiedBy>Guna Jermacāne</cp:lastModifiedBy>
  <cp:lastPrinted>2021-09-21T18:20:08Z</cp:lastPrinted>
  <dcterms:created xsi:type="dcterms:W3CDTF">2021-01-07T07:33:46Z</dcterms:created>
  <dcterms:modified xsi:type="dcterms:W3CDTF">2021-09-29T09:31:04Z</dcterms:modified>
</cp:coreProperties>
</file>